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Bestanden\Projecten\Provincie Utrecht - Kwartiermaker mini-warmtenetten\Evaluatie\Tools\"/>
    </mc:Choice>
  </mc:AlternateContent>
  <xr:revisionPtr revIDLastSave="0" documentId="13_ncr:1_{E022C1D8-819E-47A6-B31C-E4F0F14A50AF}" xr6:coauthVersionLast="47" xr6:coauthVersionMax="47" xr10:uidLastSave="{00000000-0000-0000-0000-000000000000}"/>
  <bookViews>
    <workbookView xWindow="-120" yWindow="-120" windowWidth="20730" windowHeight="11160" xr2:uid="{7878FF55-C0E9-40A8-8B92-8CB13ACF693F}"/>
  </bookViews>
  <sheets>
    <sheet name="Instructie" sheetId="18" r:id="rId1"/>
    <sheet name="Business case" sheetId="2" r:id="rId2"/>
    <sheet name="Investering" sheetId="5" r:id="rId3"/>
    <sheet name="Financiering" sheetId="14" r:id="rId4"/>
    <sheet name="Prijzen" sheetId="1" r:id="rId5"/>
    <sheet name="Kengetallen" sheetId="3" r:id="rId6"/>
    <sheet name="Isolatie+" sheetId="1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5" l="1"/>
  <c r="G7" i="5"/>
  <c r="G8" i="5"/>
  <c r="G9" i="5"/>
  <c r="G10" i="5"/>
  <c r="G11" i="5"/>
  <c r="G12" i="5"/>
  <c r="G13" i="5"/>
  <c r="G14" i="5"/>
  <c r="G15" i="5"/>
  <c r="G5" i="5"/>
  <c r="J60" i="5"/>
  <c r="I60" i="5"/>
  <c r="E16" i="5"/>
  <c r="D16" i="5"/>
  <c r="C16" i="5"/>
  <c r="C46" i="5" s="1"/>
  <c r="B16" i="5"/>
  <c r="D15" i="17"/>
  <c r="G15" i="17" s="1"/>
  <c r="E14" i="17"/>
  <c r="B14" i="17"/>
  <c r="E13" i="17"/>
  <c r="D13" i="17"/>
  <c r="G13" i="17" s="1"/>
  <c r="D12" i="17"/>
  <c r="G12" i="17" s="1"/>
  <c r="E11" i="17"/>
  <c r="D11" i="17"/>
  <c r="G11" i="17" s="1"/>
  <c r="E10" i="17"/>
  <c r="D10" i="17"/>
  <c r="G10" i="17" s="1"/>
  <c r="E9" i="17"/>
  <c r="C9" i="17"/>
  <c r="C16" i="17" s="1"/>
  <c r="E8" i="17"/>
  <c r="D8" i="17"/>
  <c r="G8" i="17" s="1"/>
  <c r="D7" i="17"/>
  <c r="G7" i="17" s="1"/>
  <c r="D6" i="17"/>
  <c r="G6" i="17" s="1"/>
  <c r="D5" i="17"/>
  <c r="G5" i="17" s="1"/>
  <c r="C63" i="5" l="1"/>
  <c r="G16" i="5"/>
  <c r="D14" i="17"/>
  <c r="G14" i="17" s="1"/>
  <c r="E16" i="17"/>
  <c r="D9" i="17"/>
  <c r="G9" i="17" s="1"/>
  <c r="G16" i="17" s="1"/>
  <c r="B16" i="17"/>
  <c r="D16" i="17" l="1"/>
  <c r="C23" i="2" l="1"/>
  <c r="C25" i="2"/>
  <c r="B47" i="3"/>
  <c r="B37" i="3"/>
  <c r="B70" i="3" l="1"/>
  <c r="B69" i="3"/>
  <c r="B68" i="3"/>
  <c r="B53" i="3"/>
  <c r="B52" i="3"/>
  <c r="B51" i="3"/>
  <c r="E69" i="3"/>
  <c r="E70" i="3"/>
  <c r="E68" i="3"/>
  <c r="E67" i="3"/>
  <c r="D50" i="3"/>
  <c r="E50" i="3" s="1"/>
  <c r="D53" i="3"/>
  <c r="E53" i="3" s="1"/>
  <c r="D52" i="3"/>
  <c r="E52" i="3" s="1"/>
  <c r="D51" i="3"/>
  <c r="E51" i="3" s="1"/>
  <c r="B59" i="5"/>
  <c r="B69" i="5" s="1"/>
  <c r="C69" i="5"/>
  <c r="C52" i="5"/>
  <c r="C34" i="5"/>
  <c r="B23" i="5"/>
  <c r="B55" i="3"/>
  <c r="AB105" i="2" l="1"/>
  <c r="AA105" i="2"/>
  <c r="Z105" i="2"/>
  <c r="Y105" i="2"/>
  <c r="X105" i="2"/>
  <c r="W105" i="2"/>
  <c r="V105" i="2"/>
  <c r="U105" i="2"/>
  <c r="T105" i="2"/>
  <c r="S105" i="2"/>
  <c r="R105" i="2"/>
  <c r="Q105" i="2"/>
  <c r="P105" i="2"/>
  <c r="O105" i="2"/>
  <c r="N105" i="2"/>
  <c r="M105" i="2"/>
  <c r="L105" i="2"/>
  <c r="K105" i="2"/>
  <c r="J105" i="2"/>
  <c r="I105" i="2"/>
  <c r="H105" i="2"/>
  <c r="G105" i="2"/>
  <c r="F105" i="2"/>
  <c r="E105" i="2"/>
  <c r="D105" i="2"/>
  <c r="C105" i="2"/>
  <c r="B105" i="2"/>
  <c r="AB104" i="2"/>
  <c r="AA104" i="2"/>
  <c r="Z104" i="2"/>
  <c r="Y104" i="2"/>
  <c r="X104" i="2"/>
  <c r="W104" i="2"/>
  <c r="V104" i="2"/>
  <c r="U104" i="2"/>
  <c r="T104" i="2"/>
  <c r="S104" i="2"/>
  <c r="R104" i="2"/>
  <c r="Q104" i="2"/>
  <c r="P104" i="2"/>
  <c r="O104" i="2"/>
  <c r="N104" i="2"/>
  <c r="M104" i="2"/>
  <c r="L104" i="2"/>
  <c r="K104" i="2"/>
  <c r="J104" i="2"/>
  <c r="I104" i="2"/>
  <c r="H104" i="2"/>
  <c r="G104" i="2"/>
  <c r="F104" i="2"/>
  <c r="E104" i="2"/>
  <c r="D104" i="2"/>
  <c r="C104" i="2"/>
  <c r="B104" i="2"/>
  <c r="AB77" i="2"/>
  <c r="AA77" i="2"/>
  <c r="Z77" i="2"/>
  <c r="Y77" i="2"/>
  <c r="X77" i="2"/>
  <c r="W77" i="2"/>
  <c r="V77" i="2"/>
  <c r="U77" i="2"/>
  <c r="T77" i="2"/>
  <c r="S77" i="2"/>
  <c r="R77" i="2"/>
  <c r="Q77" i="2"/>
  <c r="P77" i="2"/>
  <c r="O77" i="2"/>
  <c r="N77" i="2"/>
  <c r="M77" i="2"/>
  <c r="L77" i="2"/>
  <c r="K77" i="2"/>
  <c r="J77" i="2"/>
  <c r="I77" i="2"/>
  <c r="H77" i="2"/>
  <c r="G77" i="2"/>
  <c r="F77" i="2"/>
  <c r="E77" i="2"/>
  <c r="D77" i="2"/>
  <c r="C77" i="2"/>
  <c r="B77" i="2"/>
  <c r="AB76" i="2"/>
  <c r="AA76" i="2"/>
  <c r="Z76" i="2"/>
  <c r="Y76" i="2"/>
  <c r="X76" i="2"/>
  <c r="W76" i="2"/>
  <c r="V76" i="2"/>
  <c r="U76" i="2"/>
  <c r="T76" i="2"/>
  <c r="S76" i="2"/>
  <c r="R76" i="2"/>
  <c r="Q76" i="2"/>
  <c r="P76" i="2"/>
  <c r="O76" i="2"/>
  <c r="N76" i="2"/>
  <c r="M76" i="2"/>
  <c r="L76" i="2"/>
  <c r="K76" i="2"/>
  <c r="J76" i="2"/>
  <c r="I76" i="2"/>
  <c r="H76" i="2"/>
  <c r="G76" i="2"/>
  <c r="F76" i="2"/>
  <c r="E76" i="2"/>
  <c r="D76" i="2"/>
  <c r="C76" i="2"/>
  <c r="B76" i="2"/>
  <c r="D68" i="1"/>
  <c r="E68" i="1"/>
  <c r="F68" i="1"/>
  <c r="G68" i="1"/>
  <c r="H68" i="1"/>
  <c r="I68" i="1"/>
  <c r="J68" i="1"/>
  <c r="K68" i="1"/>
  <c r="L68" i="1"/>
  <c r="M68" i="1"/>
  <c r="N68" i="1"/>
  <c r="O68" i="1"/>
  <c r="P68" i="1"/>
  <c r="Q68" i="1"/>
  <c r="R68" i="1"/>
  <c r="S68" i="1"/>
  <c r="T68" i="1"/>
  <c r="C68" i="1"/>
  <c r="AB49" i="2" l="1"/>
  <c r="AA49" i="2"/>
  <c r="Z49" i="2"/>
  <c r="Y49" i="2"/>
  <c r="X49" i="2"/>
  <c r="W49" i="2"/>
  <c r="V49" i="2"/>
  <c r="U49" i="2"/>
  <c r="T49" i="2"/>
  <c r="S49" i="2"/>
  <c r="R49" i="2"/>
  <c r="Q49" i="2"/>
  <c r="P49" i="2"/>
  <c r="O49" i="2"/>
  <c r="N49" i="2"/>
  <c r="M49" i="2"/>
  <c r="L49" i="2"/>
  <c r="K49" i="2"/>
  <c r="J49" i="2"/>
  <c r="I49" i="2"/>
  <c r="H49" i="2"/>
  <c r="G49" i="2"/>
  <c r="F49" i="2"/>
  <c r="E49" i="2"/>
  <c r="D49" i="2"/>
  <c r="C49" i="2"/>
  <c r="B49" i="2"/>
  <c r="AB48" i="2"/>
  <c r="AA48" i="2"/>
  <c r="Z48" i="2"/>
  <c r="Y48" i="2"/>
  <c r="X48" i="2"/>
  <c r="W48" i="2"/>
  <c r="V48" i="2"/>
  <c r="U48" i="2"/>
  <c r="T48" i="2"/>
  <c r="S48" i="2"/>
  <c r="R48" i="2"/>
  <c r="Q48" i="2"/>
  <c r="P48" i="2"/>
  <c r="O48" i="2"/>
  <c r="N48" i="2"/>
  <c r="M48" i="2"/>
  <c r="L48" i="2"/>
  <c r="K48" i="2"/>
  <c r="J48" i="2"/>
  <c r="I48" i="2"/>
  <c r="H48" i="2"/>
  <c r="G48" i="2"/>
  <c r="F48" i="2"/>
  <c r="E48" i="2"/>
  <c r="D48" i="2"/>
  <c r="C48" i="2"/>
  <c r="B48" i="2"/>
  <c r="C84" i="1"/>
  <c r="E17" i="2"/>
  <c r="D17" i="2"/>
  <c r="C17" i="2"/>
  <c r="C6" i="14"/>
  <c r="B6" i="14"/>
  <c r="E6" i="14"/>
  <c r="D6" i="14"/>
  <c r="B1" i="14"/>
  <c r="B48" i="3"/>
  <c r="L22" i="2"/>
  <c r="B71" i="3"/>
  <c r="D59" i="5"/>
  <c r="D69" i="5" s="1"/>
  <c r="C58" i="5"/>
  <c r="C55" i="5"/>
  <c r="B58" i="5" s="1"/>
  <c r="C37" i="5"/>
  <c r="E63" i="5"/>
  <c r="E67" i="5" s="1"/>
  <c r="AD103" i="2"/>
  <c r="I5" i="5"/>
  <c r="J5" i="5"/>
  <c r="I6" i="5"/>
  <c r="J6" i="5"/>
  <c r="I7" i="5"/>
  <c r="J7" i="5"/>
  <c r="I8" i="5"/>
  <c r="J8" i="5"/>
  <c r="I9" i="5"/>
  <c r="J9" i="5"/>
  <c r="I10" i="5"/>
  <c r="J10" i="5"/>
  <c r="I11" i="5"/>
  <c r="J11" i="5"/>
  <c r="I12" i="5"/>
  <c r="J12" i="5"/>
  <c r="I13" i="5"/>
  <c r="J13" i="5"/>
  <c r="I14" i="5"/>
  <c r="J14" i="5"/>
  <c r="I15" i="5"/>
  <c r="J15" i="5"/>
  <c r="C42" i="5"/>
  <c r="C51" i="5" s="1"/>
  <c r="D23" i="5"/>
  <c r="G23" i="5" s="1"/>
  <c r="J23" i="5" s="1"/>
  <c r="E46" i="5"/>
  <c r="E50" i="5" s="1"/>
  <c r="C24" i="5"/>
  <c r="E37" i="5" l="1"/>
  <c r="B42" i="5"/>
  <c r="B24" i="5"/>
  <c r="E55" i="5"/>
  <c r="C61" i="5"/>
  <c r="C67" i="5" s="1"/>
  <c r="C68" i="5"/>
  <c r="C26" i="5"/>
  <c r="C33" i="5"/>
  <c r="B60" i="5"/>
  <c r="C44" i="5"/>
  <c r="C50" i="5" s="1"/>
  <c r="G59" i="5"/>
  <c r="G69" i="5" s="1"/>
  <c r="I59" i="5"/>
  <c r="I69" i="5" s="1"/>
  <c r="J16" i="5"/>
  <c r="I16" i="5"/>
  <c r="D58" i="5"/>
  <c r="I23" i="5"/>
  <c r="E106" i="2"/>
  <c r="I106" i="2"/>
  <c r="M106" i="2"/>
  <c r="Q106" i="2"/>
  <c r="U106" i="2"/>
  <c r="Y106" i="2"/>
  <c r="W78" i="2"/>
  <c r="O78" i="2"/>
  <c r="G78" i="2"/>
  <c r="C78" i="2"/>
  <c r="Y78" i="2"/>
  <c r="U78" i="2"/>
  <c r="Q78" i="2"/>
  <c r="M78" i="2"/>
  <c r="I78" i="2"/>
  <c r="E78" i="2"/>
  <c r="AA78" i="2"/>
  <c r="S78" i="2"/>
  <c r="K78" i="2"/>
  <c r="R78" i="2"/>
  <c r="D106" i="2"/>
  <c r="H106" i="2"/>
  <c r="L106" i="2"/>
  <c r="P106" i="2"/>
  <c r="T106" i="2"/>
  <c r="X106" i="2"/>
  <c r="AB106" i="2"/>
  <c r="B106" i="2"/>
  <c r="F106" i="2"/>
  <c r="J106" i="2"/>
  <c r="N106" i="2"/>
  <c r="R106" i="2"/>
  <c r="V106" i="2"/>
  <c r="Z106" i="2"/>
  <c r="AD104" i="2"/>
  <c r="C106" i="2"/>
  <c r="G106" i="2"/>
  <c r="K106" i="2"/>
  <c r="O106" i="2"/>
  <c r="S106" i="2"/>
  <c r="W106" i="2"/>
  <c r="AA106" i="2"/>
  <c r="AD105" i="2"/>
  <c r="AB78" i="2"/>
  <c r="X78" i="2"/>
  <c r="T78" i="2"/>
  <c r="P78" i="2"/>
  <c r="L78" i="2"/>
  <c r="H78" i="2"/>
  <c r="D78" i="2"/>
  <c r="Z78" i="2"/>
  <c r="V78" i="2"/>
  <c r="N78" i="2"/>
  <c r="J78" i="2"/>
  <c r="F78" i="2"/>
  <c r="M26" i="2" l="1"/>
  <c r="N26" i="2" s="1"/>
  <c r="D24" i="5"/>
  <c r="D60" i="5"/>
  <c r="B61" i="5"/>
  <c r="B63" i="5" s="1"/>
  <c r="J59" i="5"/>
  <c r="J69" i="5" s="1"/>
  <c r="I58" i="5"/>
  <c r="I61" i="5" s="1"/>
  <c r="I63" i="5" s="1"/>
  <c r="G58" i="5"/>
  <c r="AD106" i="2"/>
  <c r="G24" i="5" l="1"/>
  <c r="J24" i="5" s="1"/>
  <c r="I24" i="5"/>
  <c r="G60" i="5"/>
  <c r="G61" i="5" s="1"/>
  <c r="D61" i="5"/>
  <c r="D63" i="5" s="1"/>
  <c r="E15" i="2"/>
  <c r="D12" i="14" s="1"/>
  <c r="J58" i="5"/>
  <c r="J61" i="5" s="1"/>
  <c r="J63" i="5" s="1"/>
  <c r="F65" i="1"/>
  <c r="G65" i="1"/>
  <c r="H65" i="1"/>
  <c r="I65" i="1"/>
  <c r="J65" i="1"/>
  <c r="K65" i="1"/>
  <c r="L65" i="1"/>
  <c r="M65" i="1"/>
  <c r="N65" i="1"/>
  <c r="O65" i="1"/>
  <c r="P65" i="1"/>
  <c r="Q65" i="1"/>
  <c r="R65" i="1"/>
  <c r="S65" i="1"/>
  <c r="T65" i="1"/>
  <c r="F66" i="1"/>
  <c r="G66" i="1"/>
  <c r="H66" i="1"/>
  <c r="I66" i="1"/>
  <c r="J66" i="1"/>
  <c r="K66" i="1"/>
  <c r="L66" i="1"/>
  <c r="M66" i="1"/>
  <c r="N66" i="1"/>
  <c r="O66" i="1"/>
  <c r="P66" i="1"/>
  <c r="Q66" i="1"/>
  <c r="R66" i="1"/>
  <c r="S66" i="1"/>
  <c r="T66" i="1"/>
  <c r="F67" i="1"/>
  <c r="G67" i="1"/>
  <c r="H67" i="1"/>
  <c r="I67" i="1"/>
  <c r="J67" i="1"/>
  <c r="K67" i="1"/>
  <c r="L67" i="1"/>
  <c r="M67" i="1"/>
  <c r="N67" i="1"/>
  <c r="O67" i="1"/>
  <c r="P67" i="1"/>
  <c r="Q67" i="1"/>
  <c r="R67" i="1"/>
  <c r="S67" i="1"/>
  <c r="T67" i="1"/>
  <c r="E66" i="1"/>
  <c r="E67" i="1"/>
  <c r="E65" i="1"/>
  <c r="F61" i="5" l="1"/>
  <c r="G63" i="5"/>
  <c r="D17" i="14"/>
  <c r="J15" i="14" s="1"/>
  <c r="D16" i="14"/>
  <c r="J14" i="14" s="1"/>
  <c r="D15" i="14"/>
  <c r="J13" i="14" s="1"/>
  <c r="D14" i="14"/>
  <c r="J12" i="14" s="1"/>
  <c r="F63" i="5" l="1"/>
  <c r="D67" i="1"/>
  <c r="D65" i="1"/>
  <c r="D66" i="1"/>
  <c r="B14" i="3" l="1"/>
  <c r="B13" i="3"/>
  <c r="C4" i="2" l="1"/>
  <c r="C16" i="2"/>
  <c r="D16" i="2" s="1"/>
  <c r="E16" i="2" s="1"/>
  <c r="Y110" i="2" l="1"/>
  <c r="U110" i="2"/>
  <c r="Q110" i="2"/>
  <c r="M110" i="2"/>
  <c r="I110" i="2"/>
  <c r="E110" i="2"/>
  <c r="AB109" i="2"/>
  <c r="X109" i="2"/>
  <c r="T109" i="2"/>
  <c r="P109" i="2"/>
  <c r="L109" i="2"/>
  <c r="H109" i="2"/>
  <c r="D109" i="2"/>
  <c r="AB110" i="2"/>
  <c r="X110" i="2"/>
  <c r="T110" i="2"/>
  <c r="P110" i="2"/>
  <c r="L110" i="2"/>
  <c r="H110" i="2"/>
  <c r="D110" i="2"/>
  <c r="AA109" i="2"/>
  <c r="W109" i="2"/>
  <c r="S109" i="2"/>
  <c r="O109" i="2"/>
  <c r="K109" i="2"/>
  <c r="G109" i="2"/>
  <c r="C109" i="2"/>
  <c r="V110" i="2"/>
  <c r="N110" i="2"/>
  <c r="F110" i="2"/>
  <c r="Y109" i="2"/>
  <c r="Q109" i="2"/>
  <c r="I109" i="2"/>
  <c r="AA110" i="2"/>
  <c r="S110" i="2"/>
  <c r="K110" i="2"/>
  <c r="C110" i="2"/>
  <c r="V109" i="2"/>
  <c r="N109" i="2"/>
  <c r="F109" i="2"/>
  <c r="Z110" i="2"/>
  <c r="R110" i="2"/>
  <c r="J110" i="2"/>
  <c r="B110" i="2"/>
  <c r="U109" i="2"/>
  <c r="M109" i="2"/>
  <c r="E109" i="2"/>
  <c r="W110" i="2"/>
  <c r="O110" i="2"/>
  <c r="G110" i="2"/>
  <c r="Z109" i="2"/>
  <c r="R109" i="2"/>
  <c r="J109" i="2"/>
  <c r="B109" i="2"/>
  <c r="C81" i="2"/>
  <c r="G81" i="2"/>
  <c r="K81" i="2"/>
  <c r="O81" i="2"/>
  <c r="S81" i="2"/>
  <c r="W81" i="2"/>
  <c r="AA81" i="2"/>
  <c r="E82" i="2"/>
  <c r="I82" i="2"/>
  <c r="M82" i="2"/>
  <c r="Q82" i="2"/>
  <c r="U82" i="2"/>
  <c r="Y82" i="2"/>
  <c r="J81" i="2"/>
  <c r="V81" i="2"/>
  <c r="D82" i="2"/>
  <c r="P82" i="2"/>
  <c r="AB82" i="2"/>
  <c r="D81" i="2"/>
  <c r="H81" i="2"/>
  <c r="L81" i="2"/>
  <c r="P81" i="2"/>
  <c r="T81" i="2"/>
  <c r="X81" i="2"/>
  <c r="AB81" i="2"/>
  <c r="F82" i="2"/>
  <c r="J82" i="2"/>
  <c r="N82" i="2"/>
  <c r="R82" i="2"/>
  <c r="V82" i="2"/>
  <c r="Z82" i="2"/>
  <c r="F81" i="2"/>
  <c r="N81" i="2"/>
  <c r="Z81" i="2"/>
  <c r="H82" i="2"/>
  <c r="T82" i="2"/>
  <c r="E81" i="2"/>
  <c r="I81" i="2"/>
  <c r="M81" i="2"/>
  <c r="Q81" i="2"/>
  <c r="U81" i="2"/>
  <c r="Y81" i="2"/>
  <c r="C82" i="2"/>
  <c r="G82" i="2"/>
  <c r="K82" i="2"/>
  <c r="O82" i="2"/>
  <c r="S82" i="2"/>
  <c r="W82" i="2"/>
  <c r="AA82" i="2"/>
  <c r="R81" i="2"/>
  <c r="L82" i="2"/>
  <c r="X82" i="2"/>
  <c r="B81" i="2"/>
  <c r="B82" i="2"/>
  <c r="S32" i="2"/>
  <c r="S33" i="2" s="1"/>
  <c r="T32" i="2"/>
  <c r="T33" i="2" s="1"/>
  <c r="U32" i="2"/>
  <c r="U33" i="2" s="1"/>
  <c r="V32" i="2"/>
  <c r="V33" i="2" s="1"/>
  <c r="W32" i="2"/>
  <c r="W33" i="2" s="1"/>
  <c r="X32" i="2"/>
  <c r="X33" i="2" s="1"/>
  <c r="Y32" i="2"/>
  <c r="Y33" i="2" s="1"/>
  <c r="Z32" i="2"/>
  <c r="Z33" i="2" s="1"/>
  <c r="AA32" i="2"/>
  <c r="AA33" i="2" s="1"/>
  <c r="AB32" i="2"/>
  <c r="AB33" i="2" s="1"/>
  <c r="Y120" i="2" l="1"/>
  <c r="Y64" i="2"/>
  <c r="Y92" i="2"/>
  <c r="Y121" i="2"/>
  <c r="Y93" i="2"/>
  <c r="Y65" i="2"/>
  <c r="Y114" i="2"/>
  <c r="Y86" i="2"/>
  <c r="Z120" i="2"/>
  <c r="Z64" i="2"/>
  <c r="Z92" i="2"/>
  <c r="Z121" i="2"/>
  <c r="Z93" i="2"/>
  <c r="Z65" i="2"/>
  <c r="Z114" i="2"/>
  <c r="Z86" i="2"/>
  <c r="AB92" i="2"/>
  <c r="AB120" i="2"/>
  <c r="AB64" i="2"/>
  <c r="AB121" i="2"/>
  <c r="AB86" i="2"/>
  <c r="AB65" i="2"/>
  <c r="AB114" i="2"/>
  <c r="AB93" i="2"/>
  <c r="X92" i="2"/>
  <c r="X120" i="2"/>
  <c r="X64" i="2"/>
  <c r="X93" i="2"/>
  <c r="X65" i="2"/>
  <c r="X114" i="2"/>
  <c r="X86" i="2"/>
  <c r="X121" i="2"/>
  <c r="AA92" i="2"/>
  <c r="AA120" i="2"/>
  <c r="AA64" i="2"/>
  <c r="AA121" i="2"/>
  <c r="AA93" i="2"/>
  <c r="AA65" i="2"/>
  <c r="AA114" i="2"/>
  <c r="AA86" i="2"/>
  <c r="W92" i="2"/>
  <c r="W120" i="2"/>
  <c r="W64" i="2"/>
  <c r="W121" i="2"/>
  <c r="W93" i="2"/>
  <c r="W65" i="2"/>
  <c r="W114" i="2"/>
  <c r="W86" i="2"/>
  <c r="Y87" i="2"/>
  <c r="Y115" i="2"/>
  <c r="AB115" i="2"/>
  <c r="AB87" i="2"/>
  <c r="X115" i="2"/>
  <c r="X87" i="2"/>
  <c r="Z115" i="2"/>
  <c r="Z87" i="2"/>
  <c r="AA115" i="2"/>
  <c r="AA87" i="2"/>
  <c r="W115" i="2"/>
  <c r="W87" i="2"/>
  <c r="Z74" i="2"/>
  <c r="Z80" i="2" s="1"/>
  <c r="Z56" i="2"/>
  <c r="Z102" i="2"/>
  <c r="Z108" i="2" s="1"/>
  <c r="Z84" i="2"/>
  <c r="Z112" i="2"/>
  <c r="Y74" i="2"/>
  <c r="Y80" i="2" s="1"/>
  <c r="Y56" i="2"/>
  <c r="Y102" i="2"/>
  <c r="Y108" i="2" s="1"/>
  <c r="Y84" i="2"/>
  <c r="Y112" i="2"/>
  <c r="T74" i="2"/>
  <c r="T80" i="2" s="1"/>
  <c r="T112" i="2"/>
  <c r="T102" i="2"/>
  <c r="T108" i="2" s="1"/>
  <c r="V74" i="2"/>
  <c r="V80" i="2" s="1"/>
  <c r="V102" i="2"/>
  <c r="V108" i="2" s="1"/>
  <c r="V112" i="2"/>
  <c r="U74" i="2"/>
  <c r="U80" i="2" s="1"/>
  <c r="U102" i="2"/>
  <c r="U108" i="2" s="1"/>
  <c r="U112" i="2"/>
  <c r="AB74" i="2"/>
  <c r="AB80" i="2" s="1"/>
  <c r="AB112" i="2"/>
  <c r="AB102" i="2"/>
  <c r="AB108" i="2" s="1"/>
  <c r="AB56" i="2"/>
  <c r="AB84" i="2"/>
  <c r="X74" i="2"/>
  <c r="X80" i="2" s="1"/>
  <c r="X112" i="2"/>
  <c r="X84" i="2"/>
  <c r="X56" i="2"/>
  <c r="X102" i="2"/>
  <c r="X108" i="2" s="1"/>
  <c r="AA74" i="2"/>
  <c r="AA80" i="2" s="1"/>
  <c r="AA84" i="2"/>
  <c r="AA56" i="2"/>
  <c r="AA112" i="2"/>
  <c r="AA102" i="2"/>
  <c r="AA108" i="2" s="1"/>
  <c r="W74" i="2"/>
  <c r="W80" i="2" s="1"/>
  <c r="W84" i="2"/>
  <c r="W112" i="2"/>
  <c r="W102" i="2"/>
  <c r="W108" i="2" s="1"/>
  <c r="W56" i="2"/>
  <c r="S74" i="2"/>
  <c r="S80" i="2" s="1"/>
  <c r="S112" i="2"/>
  <c r="S102" i="2"/>
  <c r="S108" i="2" s="1"/>
  <c r="AB113" i="2"/>
  <c r="AB119" i="2"/>
  <c r="AB118" i="2"/>
  <c r="AB117" i="2"/>
  <c r="AB116" i="2"/>
  <c r="AB122" i="2"/>
  <c r="AB88" i="2"/>
  <c r="AB72" i="2"/>
  <c r="AB73" i="2" s="1"/>
  <c r="AB79" i="2" s="1"/>
  <c r="AB85" i="2"/>
  <c r="AB89" i="2"/>
  <c r="AB90" i="2"/>
  <c r="AB91" i="2"/>
  <c r="AB83" i="2"/>
  <c r="AB94" i="2"/>
  <c r="AB111" i="2"/>
  <c r="AB100" i="2"/>
  <c r="AB101" i="2" s="1"/>
  <c r="AB107" i="2" s="1"/>
  <c r="AD109" i="2"/>
  <c r="O6" i="2" s="1"/>
  <c r="X113" i="2"/>
  <c r="X119" i="2"/>
  <c r="X118" i="2"/>
  <c r="X117" i="2"/>
  <c r="X116" i="2"/>
  <c r="X111" i="2"/>
  <c r="X88" i="2"/>
  <c r="X72" i="2"/>
  <c r="X73" i="2" s="1"/>
  <c r="X79" i="2" s="1"/>
  <c r="X85" i="2"/>
  <c r="X89" i="2"/>
  <c r="X90" i="2"/>
  <c r="X91" i="2"/>
  <c r="X83" i="2"/>
  <c r="X122" i="2"/>
  <c r="X100" i="2"/>
  <c r="X101" i="2" s="1"/>
  <c r="X107" i="2" s="1"/>
  <c r="X94" i="2"/>
  <c r="W122" i="2"/>
  <c r="W113" i="2"/>
  <c r="W100" i="2"/>
  <c r="W101" i="2" s="1"/>
  <c r="W107" i="2" s="1"/>
  <c r="W88" i="2"/>
  <c r="W72" i="2"/>
  <c r="W73" i="2" s="1"/>
  <c r="W79" i="2" s="1"/>
  <c r="W118" i="2"/>
  <c r="W116" i="2"/>
  <c r="W91" i="2"/>
  <c r="W111" i="2"/>
  <c r="W83" i="2"/>
  <c r="W94" i="2"/>
  <c r="W85" i="2"/>
  <c r="W90" i="2"/>
  <c r="W119" i="2"/>
  <c r="W117" i="2"/>
  <c r="W89" i="2"/>
  <c r="Z111" i="2"/>
  <c r="Z122" i="2"/>
  <c r="Z118" i="2"/>
  <c r="Z116" i="2"/>
  <c r="Z113" i="2"/>
  <c r="Z100" i="2"/>
  <c r="Z101" i="2" s="1"/>
  <c r="Z107" i="2" s="1"/>
  <c r="Z83" i="2"/>
  <c r="Z94" i="2"/>
  <c r="Z119" i="2"/>
  <c r="Z117" i="2"/>
  <c r="Z72" i="2"/>
  <c r="Z73" i="2" s="1"/>
  <c r="Z79" i="2" s="1"/>
  <c r="Z85" i="2"/>
  <c r="Z89" i="2"/>
  <c r="Z91" i="2"/>
  <c r="Z88" i="2"/>
  <c r="Z90" i="2"/>
  <c r="V111" i="2"/>
  <c r="V122" i="2"/>
  <c r="V100" i="2"/>
  <c r="V101" i="2" s="1"/>
  <c r="V107" i="2" s="1"/>
  <c r="V83" i="2"/>
  <c r="V94" i="2"/>
  <c r="V113" i="2"/>
  <c r="V72" i="2"/>
  <c r="V73" i="2" s="1"/>
  <c r="V79" i="2" s="1"/>
  <c r="V85" i="2"/>
  <c r="AD110" i="2"/>
  <c r="O7" i="2" s="1"/>
  <c r="T113" i="2"/>
  <c r="T122" i="2"/>
  <c r="T72" i="2"/>
  <c r="T73" i="2" s="1"/>
  <c r="T79" i="2" s="1"/>
  <c r="T85" i="2"/>
  <c r="T94" i="2"/>
  <c r="T83" i="2"/>
  <c r="T111" i="2"/>
  <c r="T100" i="2"/>
  <c r="T101" i="2" s="1"/>
  <c r="T107" i="2" s="1"/>
  <c r="AA122" i="2"/>
  <c r="AA113" i="2"/>
  <c r="AA111" i="2"/>
  <c r="AA100" i="2"/>
  <c r="AA101" i="2" s="1"/>
  <c r="AA107" i="2" s="1"/>
  <c r="AA88" i="2"/>
  <c r="AA72" i="2"/>
  <c r="AA73" i="2" s="1"/>
  <c r="AA79" i="2" s="1"/>
  <c r="AA89" i="2"/>
  <c r="AA119" i="2"/>
  <c r="AA117" i="2"/>
  <c r="AA83" i="2"/>
  <c r="AA94" i="2"/>
  <c r="AA91" i="2"/>
  <c r="AA118" i="2"/>
  <c r="AA116" i="2"/>
  <c r="AA85" i="2"/>
  <c r="AA90" i="2"/>
  <c r="S122" i="2"/>
  <c r="S113" i="2"/>
  <c r="S111" i="2"/>
  <c r="S100" i="2"/>
  <c r="S101" i="2" s="1"/>
  <c r="S107" i="2" s="1"/>
  <c r="S72" i="2"/>
  <c r="S73" i="2" s="1"/>
  <c r="S79" i="2" s="1"/>
  <c r="S85" i="2"/>
  <c r="S83" i="2"/>
  <c r="S94" i="2"/>
  <c r="Y119" i="2"/>
  <c r="Y118" i="2"/>
  <c r="Y117" i="2"/>
  <c r="Y116" i="2"/>
  <c r="Y111" i="2"/>
  <c r="Y122" i="2"/>
  <c r="Y113" i="2"/>
  <c r="Y100" i="2"/>
  <c r="Y101" i="2" s="1"/>
  <c r="Y107" i="2" s="1"/>
  <c r="Y88" i="2"/>
  <c r="Y72" i="2"/>
  <c r="Y73" i="2" s="1"/>
  <c r="Y79" i="2" s="1"/>
  <c r="Y85" i="2"/>
  <c r="Y89" i="2"/>
  <c r="Y90" i="2"/>
  <c r="Y91" i="2"/>
  <c r="Y83" i="2"/>
  <c r="Y94" i="2"/>
  <c r="U111" i="2"/>
  <c r="U113" i="2"/>
  <c r="U94" i="2"/>
  <c r="U100" i="2"/>
  <c r="U101" i="2" s="1"/>
  <c r="U107" i="2" s="1"/>
  <c r="U72" i="2"/>
  <c r="U73" i="2" s="1"/>
  <c r="U79" i="2" s="1"/>
  <c r="U85" i="2"/>
  <c r="U83" i="2"/>
  <c r="U122" i="2"/>
  <c r="AB66" i="2"/>
  <c r="AA66" i="2"/>
  <c r="W66" i="2"/>
  <c r="Z66" i="2"/>
  <c r="AD82" i="2"/>
  <c r="N7" i="2" s="1"/>
  <c r="X66" i="2"/>
  <c r="Y66" i="2"/>
  <c r="AD81" i="2"/>
  <c r="N6" i="2" s="1"/>
  <c r="Z60" i="2"/>
  <c r="Z38" i="2"/>
  <c r="Y60" i="2"/>
  <c r="Y38" i="2"/>
  <c r="X60" i="2"/>
  <c r="X38" i="2"/>
  <c r="AB60" i="2"/>
  <c r="AB38" i="2"/>
  <c r="AA60" i="2"/>
  <c r="AA38" i="2"/>
  <c r="W60" i="2"/>
  <c r="W38" i="2"/>
  <c r="AA58" i="2"/>
  <c r="W58" i="2"/>
  <c r="Z55" i="2"/>
  <c r="Z58" i="2"/>
  <c r="Y35" i="2"/>
  <c r="Y58" i="2"/>
  <c r="AB58" i="2"/>
  <c r="X58" i="2"/>
  <c r="AB50" i="2"/>
  <c r="X50" i="2"/>
  <c r="T50" i="2"/>
  <c r="S50" i="2"/>
  <c r="AA50" i="2"/>
  <c r="Y50" i="2"/>
  <c r="U50" i="2"/>
  <c r="U39" i="2"/>
  <c r="X46" i="2"/>
  <c r="X52" i="2" s="1"/>
  <c r="Y57" i="2"/>
  <c r="U57" i="2"/>
  <c r="AA40" i="2"/>
  <c r="AA35" i="2"/>
  <c r="AA37" i="2" s="1"/>
  <c r="AA39" i="2"/>
  <c r="AA57" i="2"/>
  <c r="AA44" i="2"/>
  <c r="AA51" i="2" s="1"/>
  <c r="AA46" i="2"/>
  <c r="AA52" i="2" s="1"/>
  <c r="AB46" i="2"/>
  <c r="AB52" i="2" s="1"/>
  <c r="U35" i="2"/>
  <c r="W40" i="2"/>
  <c r="W35" i="2"/>
  <c r="W37" i="2" s="1"/>
  <c r="W39" i="2"/>
  <c r="W44" i="2"/>
  <c r="W51" i="2" s="1"/>
  <c r="W55" i="2"/>
  <c r="W57" i="2"/>
  <c r="W46" i="2"/>
  <c r="W52" i="2" s="1"/>
  <c r="S57" i="2"/>
  <c r="S40" i="2"/>
  <c r="S35" i="2"/>
  <c r="S39" i="2"/>
  <c r="Y44" i="2"/>
  <c r="Y51" i="2" s="1"/>
  <c r="AA55" i="2"/>
  <c r="U40" i="2"/>
  <c r="Y40" i="2"/>
  <c r="Y46" i="2"/>
  <c r="Y39" i="2"/>
  <c r="X55" i="2"/>
  <c r="V40" i="2"/>
  <c r="Z40" i="2"/>
  <c r="Y55" i="2"/>
  <c r="T40" i="2"/>
  <c r="X40" i="2"/>
  <c r="AB40" i="2"/>
  <c r="Z57" i="2"/>
  <c r="Z44" i="2"/>
  <c r="Z51" i="2" s="1"/>
  <c r="Z46" i="2"/>
  <c r="Z52" i="2" s="1"/>
  <c r="Z39" i="2"/>
  <c r="Z35" i="2"/>
  <c r="Z37" i="2" s="1"/>
  <c r="V57" i="2"/>
  <c r="V39" i="2"/>
  <c r="V35" i="2"/>
  <c r="AB63" i="2"/>
  <c r="AB61" i="2"/>
  <c r="AB59" i="2"/>
  <c r="AB57" i="2"/>
  <c r="X57" i="2"/>
  <c r="T57" i="2"/>
  <c r="AB55" i="2"/>
  <c r="Z50" i="2"/>
  <c r="AB44" i="2"/>
  <c r="AB51" i="2" s="1"/>
  <c r="X44" i="2"/>
  <c r="X51" i="2" s="1"/>
  <c r="AB39" i="2"/>
  <c r="X39" i="2"/>
  <c r="T39" i="2"/>
  <c r="AB35" i="2"/>
  <c r="AB37" i="2" s="1"/>
  <c r="X35" i="2"/>
  <c r="X37" i="2" s="1"/>
  <c r="T35" i="2"/>
  <c r="T37" i="2" s="1"/>
  <c r="AB62" i="2"/>
  <c r="W50" i="2"/>
  <c r="V50" i="2"/>
  <c r="W124" i="2" l="1"/>
  <c r="Z95" i="2"/>
  <c r="W95" i="2"/>
  <c r="X95" i="2"/>
  <c r="AB123" i="2"/>
  <c r="AB124" i="2"/>
  <c r="Y95" i="2"/>
  <c r="AA95" i="2"/>
  <c r="X123" i="2"/>
  <c r="X96" i="2"/>
  <c r="X124" i="2"/>
  <c r="AB95" i="2"/>
  <c r="W96" i="2"/>
  <c r="W123" i="2"/>
  <c r="Y96" i="2"/>
  <c r="Y123" i="2"/>
  <c r="Y124" i="2"/>
  <c r="AA96" i="2"/>
  <c r="AA123" i="2"/>
  <c r="Z123" i="2"/>
  <c r="AB96" i="2"/>
  <c r="AA124" i="2"/>
  <c r="Z96" i="2"/>
  <c r="Z124" i="2"/>
  <c r="Y37" i="2"/>
  <c r="Y41" i="2" s="1"/>
  <c r="AA41" i="2"/>
  <c r="Y52" i="2"/>
  <c r="U37" i="2"/>
  <c r="W41" i="2"/>
  <c r="X41" i="2"/>
  <c r="S37" i="2"/>
  <c r="AB41" i="2"/>
  <c r="V37" i="2"/>
  <c r="AB68" i="2"/>
  <c r="Z41" i="2"/>
  <c r="AA97" i="2" l="1"/>
  <c r="Z97" i="2"/>
  <c r="Y97" i="2"/>
  <c r="W97" i="2"/>
  <c r="X97" i="2"/>
  <c r="AB97" i="2"/>
  <c r="AA125" i="2"/>
  <c r="W125" i="2"/>
  <c r="AB125" i="2"/>
  <c r="Y125" i="2"/>
  <c r="X125" i="2"/>
  <c r="Z125" i="2"/>
  <c r="V55" i="2"/>
  <c r="T55" i="2"/>
  <c r="U55" i="2"/>
  <c r="S55" i="2"/>
  <c r="U53" i="2"/>
  <c r="Y53" i="2"/>
  <c r="S54" i="2"/>
  <c r="W54" i="2"/>
  <c r="AA54" i="2"/>
  <c r="V53" i="2"/>
  <c r="Z53" i="2"/>
  <c r="T54" i="2"/>
  <c r="X54" i="2"/>
  <c r="AB54" i="2"/>
  <c r="Y54" i="2"/>
  <c r="T53" i="2"/>
  <c r="X53" i="2"/>
  <c r="AB53" i="2"/>
  <c r="AB67" i="2" s="1"/>
  <c r="AB69" i="2" s="1"/>
  <c r="V54" i="2"/>
  <c r="Z54" i="2"/>
  <c r="S53" i="2"/>
  <c r="W53" i="2"/>
  <c r="AA53" i="2"/>
  <c r="U54" i="2"/>
  <c r="B5" i="3"/>
  <c r="C76" i="1" l="1"/>
  <c r="D76" i="1" s="1"/>
  <c r="E76" i="1" s="1"/>
  <c r="F76" i="1" s="1"/>
  <c r="G76" i="1" s="1"/>
  <c r="H76" i="1" s="1"/>
  <c r="I76" i="1" s="1"/>
  <c r="J76" i="1" s="1"/>
  <c r="K76" i="1" s="1"/>
  <c r="L76" i="1" s="1"/>
  <c r="M76" i="1" s="1"/>
  <c r="N76" i="1" s="1"/>
  <c r="O76" i="1" s="1"/>
  <c r="P76" i="1" s="1"/>
  <c r="Q76" i="1" s="1"/>
  <c r="R76" i="1" s="1"/>
  <c r="S76" i="1" s="1"/>
  <c r="T76" i="1" s="1"/>
  <c r="C77" i="1"/>
  <c r="D77" i="1" s="1"/>
  <c r="E77" i="1" s="1"/>
  <c r="F77" i="1" s="1"/>
  <c r="G77" i="1" s="1"/>
  <c r="H77" i="1" s="1"/>
  <c r="I77" i="1" s="1"/>
  <c r="J77" i="1" s="1"/>
  <c r="K77" i="1" s="1"/>
  <c r="L77" i="1" s="1"/>
  <c r="M77" i="1" s="1"/>
  <c r="N77" i="1" s="1"/>
  <c r="O77" i="1" s="1"/>
  <c r="P77" i="1" s="1"/>
  <c r="Q77" i="1" s="1"/>
  <c r="R77" i="1" s="1"/>
  <c r="S77" i="1" s="1"/>
  <c r="T77" i="1" s="1"/>
  <c r="C78" i="1" l="1"/>
  <c r="J32" i="2"/>
  <c r="J33" i="2" s="1"/>
  <c r="J112" i="2" l="1"/>
  <c r="J111" i="2"/>
  <c r="J122" i="2"/>
  <c r="J113" i="2"/>
  <c r="J94" i="2"/>
  <c r="J85" i="2"/>
  <c r="J83" i="2"/>
  <c r="J57" i="2"/>
  <c r="J39" i="2"/>
  <c r="E78" i="1"/>
  <c r="D78" i="1"/>
  <c r="F78" i="1" l="1"/>
  <c r="G78" i="1" l="1"/>
  <c r="H78" i="1" l="1"/>
  <c r="I78" i="1" l="1"/>
  <c r="J78" i="1" l="1"/>
  <c r="K78" i="1" l="1"/>
  <c r="L78" i="1" l="1"/>
  <c r="J40" i="2" l="1"/>
  <c r="J55" i="2"/>
  <c r="M78" i="1"/>
  <c r="N78" i="1" l="1"/>
  <c r="O78" i="1" l="1"/>
  <c r="P78" i="1" l="1"/>
  <c r="B7" i="3"/>
  <c r="V38" i="2" l="1"/>
  <c r="V41" i="2" s="1"/>
  <c r="U38" i="2"/>
  <c r="U41" i="2" s="1"/>
  <c r="T38" i="2"/>
  <c r="T41" i="2" s="1"/>
  <c r="S38" i="2"/>
  <c r="S41" i="2" s="1"/>
  <c r="Q78" i="1"/>
  <c r="Q32" i="2"/>
  <c r="R32" i="2"/>
  <c r="P32" i="2"/>
  <c r="C32" i="2"/>
  <c r="D32" i="2"/>
  <c r="E32" i="2"/>
  <c r="F32" i="2"/>
  <c r="G32" i="2"/>
  <c r="H32" i="2"/>
  <c r="I32" i="2"/>
  <c r="K32" i="2"/>
  <c r="L32" i="2"/>
  <c r="M32" i="2"/>
  <c r="N32" i="2"/>
  <c r="O32" i="2"/>
  <c r="B32" i="2"/>
  <c r="R78" i="1" l="1"/>
  <c r="N33" i="2"/>
  <c r="P33" i="2"/>
  <c r="R33" i="2"/>
  <c r="Q33" i="2"/>
  <c r="J35" i="2"/>
  <c r="F33" i="2"/>
  <c r="B33" i="2"/>
  <c r="L33" i="2"/>
  <c r="H33" i="2"/>
  <c r="D33" i="2"/>
  <c r="C33" i="2"/>
  <c r="G33" i="2"/>
  <c r="K33" i="2"/>
  <c r="O33" i="2"/>
  <c r="E33" i="2"/>
  <c r="I33" i="2"/>
  <c r="M33" i="2"/>
  <c r="E112" i="2" l="1"/>
  <c r="R74" i="2"/>
  <c r="R80" i="2" s="1"/>
  <c r="R102" i="2"/>
  <c r="R108" i="2" s="1"/>
  <c r="R112" i="2"/>
  <c r="D112" i="2"/>
  <c r="M112" i="2"/>
  <c r="H112" i="2"/>
  <c r="N112" i="2"/>
  <c r="C112" i="2"/>
  <c r="B112" i="2"/>
  <c r="O112" i="2"/>
  <c r="F112" i="2"/>
  <c r="P112" i="2"/>
  <c r="K112" i="2"/>
  <c r="I112" i="2"/>
  <c r="G112" i="2"/>
  <c r="L112" i="2"/>
  <c r="Q112" i="2"/>
  <c r="E111" i="2"/>
  <c r="E113" i="2"/>
  <c r="E94" i="2"/>
  <c r="E85" i="2"/>
  <c r="E122" i="2"/>
  <c r="E83" i="2"/>
  <c r="R111" i="2"/>
  <c r="R122" i="2"/>
  <c r="R113" i="2"/>
  <c r="R100" i="2"/>
  <c r="R101" i="2" s="1"/>
  <c r="R107" i="2" s="1"/>
  <c r="R83" i="2"/>
  <c r="R94" i="2"/>
  <c r="R85" i="2"/>
  <c r="R72" i="2"/>
  <c r="R73" i="2" s="1"/>
  <c r="R79" i="2" s="1"/>
  <c r="D113" i="2"/>
  <c r="D122" i="2"/>
  <c r="D85" i="2"/>
  <c r="D94" i="2"/>
  <c r="D111" i="2"/>
  <c r="D83" i="2"/>
  <c r="F111" i="2"/>
  <c r="F122" i="2"/>
  <c r="F94" i="2"/>
  <c r="F85" i="2"/>
  <c r="F113" i="2"/>
  <c r="F83" i="2"/>
  <c r="P113" i="2"/>
  <c r="P111" i="2"/>
  <c r="P85" i="2"/>
  <c r="P122" i="2"/>
  <c r="P94" i="2"/>
  <c r="P83" i="2"/>
  <c r="C122" i="2"/>
  <c r="C113" i="2"/>
  <c r="C111" i="2"/>
  <c r="C94" i="2"/>
  <c r="C85" i="2"/>
  <c r="C83" i="2"/>
  <c r="O122" i="2"/>
  <c r="O113" i="2"/>
  <c r="O111" i="2"/>
  <c r="O94" i="2"/>
  <c r="O85" i="2"/>
  <c r="O83" i="2"/>
  <c r="K122" i="2"/>
  <c r="K113" i="2"/>
  <c r="K111" i="2"/>
  <c r="K85" i="2"/>
  <c r="K94" i="2"/>
  <c r="K83" i="2"/>
  <c r="H113" i="2"/>
  <c r="H111" i="2"/>
  <c r="H85" i="2"/>
  <c r="H94" i="2"/>
  <c r="H122" i="2"/>
  <c r="H83" i="2"/>
  <c r="N111" i="2"/>
  <c r="N122" i="2"/>
  <c r="N94" i="2"/>
  <c r="N85" i="2"/>
  <c r="N113" i="2"/>
  <c r="N83" i="2"/>
  <c r="B111" i="2"/>
  <c r="B122" i="2"/>
  <c r="B113" i="2"/>
  <c r="M111" i="2"/>
  <c r="M113" i="2"/>
  <c r="M94" i="2"/>
  <c r="M85" i="2"/>
  <c r="M122" i="2"/>
  <c r="M83" i="2"/>
  <c r="I111" i="2"/>
  <c r="I122" i="2"/>
  <c r="I113" i="2"/>
  <c r="I85" i="2"/>
  <c r="I94" i="2"/>
  <c r="I83" i="2"/>
  <c r="G122" i="2"/>
  <c r="G113" i="2"/>
  <c r="G111" i="2"/>
  <c r="G94" i="2"/>
  <c r="G85" i="2"/>
  <c r="G83" i="2"/>
  <c r="L113" i="2"/>
  <c r="L122" i="2"/>
  <c r="L85" i="2"/>
  <c r="L111" i="2"/>
  <c r="L94" i="2"/>
  <c r="L83" i="2"/>
  <c r="Q111" i="2"/>
  <c r="Q122" i="2"/>
  <c r="Q113" i="2"/>
  <c r="Q85" i="2"/>
  <c r="Q83" i="2"/>
  <c r="Q94" i="2"/>
  <c r="B85" i="2"/>
  <c r="B83" i="2"/>
  <c r="B94" i="2"/>
  <c r="R55" i="2"/>
  <c r="R40" i="2"/>
  <c r="I57" i="2"/>
  <c r="I39" i="2"/>
  <c r="I54" i="2" s="1"/>
  <c r="K39" i="2"/>
  <c r="K57" i="2"/>
  <c r="H57" i="2"/>
  <c r="H39" i="2"/>
  <c r="H54" i="2" s="1"/>
  <c r="N57" i="2"/>
  <c r="N39" i="2"/>
  <c r="N54" i="2" s="1"/>
  <c r="E57" i="2"/>
  <c r="E39" i="2"/>
  <c r="E54" i="2" s="1"/>
  <c r="G57" i="2"/>
  <c r="G39" i="2"/>
  <c r="G54" i="2" s="1"/>
  <c r="L57" i="2"/>
  <c r="L39" i="2"/>
  <c r="L54" i="2" s="1"/>
  <c r="Q57" i="2"/>
  <c r="Q39" i="2"/>
  <c r="Q54" i="2" s="1"/>
  <c r="C57" i="2"/>
  <c r="C39" i="2"/>
  <c r="C54" i="2" s="1"/>
  <c r="B57" i="2"/>
  <c r="B39" i="2"/>
  <c r="B54" i="2" s="1"/>
  <c r="R39" i="2"/>
  <c r="R57" i="2"/>
  <c r="M57" i="2"/>
  <c r="M39" i="2"/>
  <c r="M54" i="2" s="1"/>
  <c r="O57" i="2"/>
  <c r="O39" i="2"/>
  <c r="O54" i="2" s="1"/>
  <c r="D57" i="2"/>
  <c r="D39" i="2"/>
  <c r="D54" i="2" s="1"/>
  <c r="F57" i="2"/>
  <c r="F39" i="2"/>
  <c r="F54" i="2" s="1"/>
  <c r="P57" i="2"/>
  <c r="P39" i="2"/>
  <c r="P54" i="2" s="1"/>
  <c r="T78" i="1"/>
  <c r="S78" i="1"/>
  <c r="Q40" i="2" s="1"/>
  <c r="N35" i="2"/>
  <c r="L55" i="2"/>
  <c r="L40" i="2"/>
  <c r="Q55" i="2"/>
  <c r="M40" i="2"/>
  <c r="M55" i="2"/>
  <c r="O55" i="2"/>
  <c r="O40" i="2"/>
  <c r="B40" i="2"/>
  <c r="B55" i="2"/>
  <c r="C55" i="2"/>
  <c r="C40" i="2"/>
  <c r="K55" i="2"/>
  <c r="K40" i="2"/>
  <c r="D55" i="2"/>
  <c r="D40" i="2"/>
  <c r="F35" i="2"/>
  <c r="F40" i="2"/>
  <c r="F55" i="2"/>
  <c r="P55" i="2"/>
  <c r="P40" i="2"/>
  <c r="I55" i="2"/>
  <c r="I40" i="2"/>
  <c r="E40" i="2"/>
  <c r="E55" i="2"/>
  <c r="G40" i="2"/>
  <c r="G55" i="2"/>
  <c r="H55" i="2"/>
  <c r="H40" i="2"/>
  <c r="N40" i="2"/>
  <c r="N55" i="2"/>
  <c r="B35" i="2"/>
  <c r="H35" i="2"/>
  <c r="R35" i="2"/>
  <c r="R53" i="2"/>
  <c r="R54" i="2"/>
  <c r="P35" i="2"/>
  <c r="K54" i="2"/>
  <c r="D35" i="2"/>
  <c r="L35" i="2"/>
  <c r="J54" i="2"/>
  <c r="Q35" i="2"/>
  <c r="I35" i="2"/>
  <c r="E35" i="2"/>
  <c r="G35" i="2"/>
  <c r="K35" i="2"/>
  <c r="C35" i="2"/>
  <c r="M35" i="2"/>
  <c r="O35" i="2"/>
  <c r="AD111" i="2" l="1"/>
  <c r="O8" i="2" s="1"/>
  <c r="AD122" i="2"/>
  <c r="O14" i="2" s="1"/>
  <c r="AD113" i="2"/>
  <c r="O10" i="2" s="1"/>
  <c r="AD94" i="2"/>
  <c r="N14" i="2" s="1"/>
  <c r="AD85" i="2"/>
  <c r="N10" i="2" s="1"/>
  <c r="AD83" i="2"/>
  <c r="N8" i="2" s="1"/>
  <c r="AD57" i="2"/>
  <c r="M10" i="2" s="1"/>
  <c r="AD40" i="2"/>
  <c r="L8" i="2" s="1"/>
  <c r="AD54" i="2"/>
  <c r="M7" i="2" s="1"/>
  <c r="AD39" i="2"/>
  <c r="L7" i="2" s="1"/>
  <c r="AD55" i="2"/>
  <c r="M8" i="2" s="1"/>
  <c r="AD35" i="2"/>
  <c r="B37" i="2"/>
  <c r="C37" i="2"/>
  <c r="C50" i="2" l="1"/>
  <c r="D50" i="2"/>
  <c r="D37" i="2"/>
  <c r="B50" i="2"/>
  <c r="E37" i="2" l="1"/>
  <c r="F37" i="2" l="1"/>
  <c r="E50" i="2"/>
  <c r="G37" i="2" l="1"/>
  <c r="F50" i="2"/>
  <c r="G50" i="2" l="1"/>
  <c r="AD49" i="2" l="1"/>
  <c r="AD48" i="2"/>
  <c r="N37" i="2"/>
  <c r="L50" i="2"/>
  <c r="H50" i="2"/>
  <c r="H37" i="2"/>
  <c r="I37" i="2"/>
  <c r="P50" i="2"/>
  <c r="J50" i="2"/>
  <c r="K50" i="2"/>
  <c r="R37" i="2"/>
  <c r="L37" i="2"/>
  <c r="M37" i="2"/>
  <c r="I50" i="2"/>
  <c r="N50" i="2"/>
  <c r="O50" i="2"/>
  <c r="O37" i="2"/>
  <c r="Q50" i="2"/>
  <c r="J37" i="2"/>
  <c r="K37" i="2"/>
  <c r="P37" i="2"/>
  <c r="Q37" i="2"/>
  <c r="M50" i="2"/>
  <c r="R50" i="2"/>
  <c r="AD50" i="2" l="1"/>
  <c r="AD37" i="2"/>
  <c r="L4" i="2" s="1"/>
  <c r="AD47" i="2" l="1"/>
  <c r="U46" i="2"/>
  <c r="T46" i="2"/>
  <c r="S46" i="2"/>
  <c r="V46" i="2"/>
  <c r="U44" i="2"/>
  <c r="U51" i="2" s="1"/>
  <c r="T44" i="2"/>
  <c r="T51" i="2" s="1"/>
  <c r="V44" i="2"/>
  <c r="V51" i="2" s="1"/>
  <c r="S44" i="2"/>
  <c r="S51" i="2" s="1"/>
  <c r="R44" i="2"/>
  <c r="R51" i="2" s="1"/>
  <c r="R46" i="2"/>
  <c r="S52" i="2" l="1"/>
  <c r="R52" i="2"/>
  <c r="T52" i="2"/>
  <c r="U52" i="2"/>
  <c r="V52" i="2"/>
  <c r="AD45" i="2"/>
  <c r="W59" i="2" l="1"/>
  <c r="W61" i="2" l="1"/>
  <c r="W62" i="2" s="1"/>
  <c r="X59" i="2"/>
  <c r="X61" i="2" l="1"/>
  <c r="W68" i="2"/>
  <c r="Y59" i="2"/>
  <c r="X62" i="2"/>
  <c r="Y61" i="2" l="1"/>
  <c r="W63" i="2"/>
  <c r="W67" i="2"/>
  <c r="W69" i="2" s="1"/>
  <c r="Y62" i="2"/>
  <c r="X63" i="2"/>
  <c r="X68" i="2"/>
  <c r="X67" i="2"/>
  <c r="X69" i="2" s="1"/>
  <c r="Z59" i="2"/>
  <c r="Y63" i="2" l="1"/>
  <c r="Y68" i="2"/>
  <c r="Y67" i="2"/>
  <c r="Y69" i="2" s="1"/>
  <c r="Z61" i="2"/>
  <c r="Z62" i="2" s="1"/>
  <c r="AA59" i="2"/>
  <c r="AA61" i="2"/>
  <c r="AA62" i="2" s="1"/>
  <c r="Z63" i="2" l="1"/>
  <c r="Z68" i="2"/>
  <c r="Z67" i="2"/>
  <c r="Z69" i="2" s="1"/>
  <c r="AA63" i="2"/>
  <c r="AA68" i="2"/>
  <c r="AA67" i="2"/>
  <c r="AA69" i="2" l="1"/>
  <c r="O53" i="2" l="1"/>
  <c r="Q53" i="2"/>
  <c r="J53" i="2"/>
  <c r="P53" i="2"/>
  <c r="N53" i="2"/>
  <c r="L53" i="2"/>
  <c r="H53" i="2"/>
  <c r="M53" i="2"/>
  <c r="I53" i="2"/>
  <c r="K53" i="2"/>
  <c r="G53" i="2"/>
  <c r="F53" i="2"/>
  <c r="E53" i="2"/>
  <c r="D53" i="2"/>
  <c r="C53" i="2"/>
  <c r="B53" i="2" l="1"/>
  <c r="AD53" i="2" l="1"/>
  <c r="M6" i="2" s="1"/>
  <c r="C3" i="2" l="1"/>
  <c r="E28" i="5"/>
  <c r="C19" i="5"/>
  <c r="Q100" i="2" l="1"/>
  <c r="Q101" i="2" s="1"/>
  <c r="Q107" i="2" s="1"/>
  <c r="Q102" i="2"/>
  <c r="Q108" i="2" s="1"/>
  <c r="Q72" i="2"/>
  <c r="Q73" i="2" s="1"/>
  <c r="Q79" i="2" s="1"/>
  <c r="Q74" i="2"/>
  <c r="Q80" i="2" s="1"/>
  <c r="C20" i="5"/>
  <c r="C38" i="5"/>
  <c r="B40" i="5" s="1"/>
  <c r="B52" i="5" s="1"/>
  <c r="M102" i="2"/>
  <c r="I102" i="2"/>
  <c r="E102" i="2"/>
  <c r="F102" i="2"/>
  <c r="P102" i="2"/>
  <c r="L102" i="2"/>
  <c r="L108" i="2" s="1"/>
  <c r="H102" i="2"/>
  <c r="D102" i="2"/>
  <c r="N102" i="2"/>
  <c r="O102" i="2"/>
  <c r="O108" i="2" s="1"/>
  <c r="K102" i="2"/>
  <c r="K108" i="2" s="1"/>
  <c r="G102" i="2"/>
  <c r="J102" i="2"/>
  <c r="C102" i="2"/>
  <c r="J74" i="2"/>
  <c r="D19" i="2" s="1"/>
  <c r="C74" i="2"/>
  <c r="P74" i="2"/>
  <c r="M74" i="2"/>
  <c r="I74" i="2"/>
  <c r="F74" i="2"/>
  <c r="O74" i="2"/>
  <c r="E74" i="2"/>
  <c r="K74" i="2"/>
  <c r="G74" i="2"/>
  <c r="B74" i="2"/>
  <c r="D74" i="2"/>
  <c r="B102" i="2"/>
  <c r="H74" i="2"/>
  <c r="L74" i="2"/>
  <c r="N74" i="2"/>
  <c r="J100" i="2"/>
  <c r="J101" i="2" s="1"/>
  <c r="J107" i="2" s="1"/>
  <c r="D100" i="2"/>
  <c r="D101" i="2" s="1"/>
  <c r="D107" i="2" s="1"/>
  <c r="O100" i="2"/>
  <c r="O101" i="2" s="1"/>
  <c r="O107" i="2" s="1"/>
  <c r="K100" i="2"/>
  <c r="K101" i="2" s="1"/>
  <c r="K107" i="2" s="1"/>
  <c r="N100" i="2"/>
  <c r="N101" i="2" s="1"/>
  <c r="N107" i="2" s="1"/>
  <c r="B100" i="2"/>
  <c r="I100" i="2"/>
  <c r="I101" i="2" s="1"/>
  <c r="I107" i="2" s="1"/>
  <c r="G100" i="2"/>
  <c r="G101" i="2" s="1"/>
  <c r="G107" i="2" s="1"/>
  <c r="L100" i="2"/>
  <c r="L101" i="2" s="1"/>
  <c r="L107" i="2" s="1"/>
  <c r="F100" i="2"/>
  <c r="F101" i="2" s="1"/>
  <c r="F107" i="2" s="1"/>
  <c r="C100" i="2"/>
  <c r="C101" i="2" s="1"/>
  <c r="C107" i="2" s="1"/>
  <c r="E100" i="2"/>
  <c r="E101" i="2" s="1"/>
  <c r="E107" i="2" s="1"/>
  <c r="P100" i="2"/>
  <c r="P101" i="2" s="1"/>
  <c r="P107" i="2" s="1"/>
  <c r="H100" i="2"/>
  <c r="H101" i="2" s="1"/>
  <c r="H107" i="2" s="1"/>
  <c r="M100" i="2"/>
  <c r="M101" i="2" s="1"/>
  <c r="M107" i="2" s="1"/>
  <c r="F72" i="2"/>
  <c r="F73" i="2" s="1"/>
  <c r="F79" i="2" s="1"/>
  <c r="E72" i="2"/>
  <c r="E73" i="2" s="1"/>
  <c r="E79" i="2" s="1"/>
  <c r="G72" i="2"/>
  <c r="G73" i="2" s="1"/>
  <c r="G79" i="2" s="1"/>
  <c r="M72" i="2"/>
  <c r="M73" i="2" s="1"/>
  <c r="M79" i="2" s="1"/>
  <c r="H72" i="2"/>
  <c r="H73" i="2" s="1"/>
  <c r="H79" i="2" s="1"/>
  <c r="N72" i="2"/>
  <c r="N73" i="2" s="1"/>
  <c r="N79" i="2" s="1"/>
  <c r="P72" i="2"/>
  <c r="P73" i="2" s="1"/>
  <c r="P79" i="2" s="1"/>
  <c r="C72" i="2"/>
  <c r="C73" i="2" s="1"/>
  <c r="C79" i="2" s="1"/>
  <c r="J72" i="2"/>
  <c r="J73" i="2" s="1"/>
  <c r="J79" i="2" s="1"/>
  <c r="K72" i="2"/>
  <c r="K73" i="2" s="1"/>
  <c r="K79" i="2" s="1"/>
  <c r="L72" i="2"/>
  <c r="L73" i="2" s="1"/>
  <c r="L79" i="2" s="1"/>
  <c r="O72" i="2"/>
  <c r="O73" i="2" s="1"/>
  <c r="O79" i="2" s="1"/>
  <c r="D72" i="2"/>
  <c r="D73" i="2" s="1"/>
  <c r="D79" i="2" s="1"/>
  <c r="I72" i="2"/>
  <c r="I73" i="2" s="1"/>
  <c r="I79" i="2" s="1"/>
  <c r="B72" i="2"/>
  <c r="L44" i="2"/>
  <c r="L51" i="2" s="1"/>
  <c r="B44" i="2"/>
  <c r="B51" i="2" s="1"/>
  <c r="B46" i="2"/>
  <c r="B52" i="2" s="1"/>
  <c r="E32" i="5"/>
  <c r="C46" i="2"/>
  <c r="C52" i="2" s="1"/>
  <c r="H46" i="2"/>
  <c r="H52" i="2" s="1"/>
  <c r="P46" i="2"/>
  <c r="P52" i="2" s="1"/>
  <c r="M44" i="2"/>
  <c r="M51" i="2" s="1"/>
  <c r="K46" i="2"/>
  <c r="K52" i="2" s="1"/>
  <c r="O46" i="2"/>
  <c r="O52" i="2" s="1"/>
  <c r="Q46" i="2"/>
  <c r="Q52" i="2" s="1"/>
  <c r="K44" i="2"/>
  <c r="K51" i="2" s="1"/>
  <c r="D46" i="2"/>
  <c r="D52" i="2" s="1"/>
  <c r="N44" i="2"/>
  <c r="N51" i="2" s="1"/>
  <c r="N46" i="2"/>
  <c r="N52" i="2" s="1"/>
  <c r="G46" i="2"/>
  <c r="G52" i="2" s="1"/>
  <c r="D44" i="2"/>
  <c r="D51" i="2" s="1"/>
  <c r="P44" i="2"/>
  <c r="P51" i="2" s="1"/>
  <c r="F44" i="2"/>
  <c r="F51" i="2" s="1"/>
  <c r="F19" i="5"/>
  <c r="C44" i="2"/>
  <c r="E46" i="2"/>
  <c r="M46" i="2"/>
  <c r="E44" i="2"/>
  <c r="E51" i="2" s="1"/>
  <c r="I44" i="2"/>
  <c r="I51" i="2" s="1"/>
  <c r="J44" i="2"/>
  <c r="J51" i="2" s="1"/>
  <c r="G44" i="2"/>
  <c r="G51" i="2" s="1"/>
  <c r="O44" i="2"/>
  <c r="O51" i="2" s="1"/>
  <c r="H44" i="2"/>
  <c r="H51" i="2" s="1"/>
  <c r="I46" i="2"/>
  <c r="F46" i="2"/>
  <c r="L46" i="2"/>
  <c r="J46" i="2"/>
  <c r="C19" i="2" s="1"/>
  <c r="Q44" i="2"/>
  <c r="Q51" i="2" s="1"/>
  <c r="Q66" i="2" l="1"/>
  <c r="V66" i="2"/>
  <c r="U66" i="2"/>
  <c r="T58" i="2"/>
  <c r="S66" i="2"/>
  <c r="U58" i="2"/>
  <c r="S58" i="2"/>
  <c r="T66" i="2"/>
  <c r="V58" i="2"/>
  <c r="R66" i="2"/>
  <c r="Q86" i="2"/>
  <c r="Q87" i="2" s="1"/>
  <c r="U86" i="2"/>
  <c r="T86" i="2"/>
  <c r="V86" i="2"/>
  <c r="S86" i="2"/>
  <c r="R86" i="2"/>
  <c r="C24" i="2"/>
  <c r="B22" i="5" s="1"/>
  <c r="B43" i="5" a="1"/>
  <c r="B43" i="5" s="1"/>
  <c r="M86" i="2"/>
  <c r="M87" i="2" s="1"/>
  <c r="I86" i="2"/>
  <c r="I87" i="2" s="1"/>
  <c r="E86" i="2"/>
  <c r="E87" i="2" s="1"/>
  <c r="L86" i="2"/>
  <c r="L87" i="2" s="1"/>
  <c r="D86" i="2"/>
  <c r="D87" i="2" s="1"/>
  <c r="O86" i="2"/>
  <c r="O87" i="2" s="1"/>
  <c r="G86" i="2"/>
  <c r="G87" i="2" s="1"/>
  <c r="D20" i="2"/>
  <c r="B48" i="5" s="1"/>
  <c r="E19" i="2"/>
  <c r="J86" i="2"/>
  <c r="J87" i="2" s="1"/>
  <c r="F86" i="2"/>
  <c r="F87" i="2" s="1"/>
  <c r="B86" i="2"/>
  <c r="B87" i="2" s="1"/>
  <c r="P86" i="2"/>
  <c r="P87" i="2" s="1"/>
  <c r="H86" i="2"/>
  <c r="H87" i="2" s="1"/>
  <c r="K86" i="2"/>
  <c r="K87" i="2" s="1"/>
  <c r="C86" i="2"/>
  <c r="C87" i="2" s="1"/>
  <c r="N86" i="2"/>
  <c r="N87" i="2" s="1"/>
  <c r="N108" i="2"/>
  <c r="C108" i="2"/>
  <c r="AD102" i="2"/>
  <c r="E108" i="2"/>
  <c r="H108" i="2"/>
  <c r="D108" i="2"/>
  <c r="B101" i="2"/>
  <c r="AD100" i="2"/>
  <c r="I108" i="2"/>
  <c r="G108" i="2"/>
  <c r="M108" i="2"/>
  <c r="F108" i="2"/>
  <c r="B108" i="2"/>
  <c r="P108" i="2"/>
  <c r="J108" i="2"/>
  <c r="I80" i="2"/>
  <c r="L80" i="2"/>
  <c r="O80" i="2"/>
  <c r="F80" i="2"/>
  <c r="E80" i="2"/>
  <c r="H80" i="2"/>
  <c r="N80" i="2"/>
  <c r="M80" i="2"/>
  <c r="P80" i="2"/>
  <c r="J80" i="2"/>
  <c r="C80" i="2"/>
  <c r="G80" i="2"/>
  <c r="K80" i="2"/>
  <c r="D80" i="2"/>
  <c r="AD74" i="2"/>
  <c r="B73" i="2"/>
  <c r="AD72" i="2"/>
  <c r="J66" i="2"/>
  <c r="C66" i="2"/>
  <c r="F66" i="2"/>
  <c r="I66" i="2"/>
  <c r="L66" i="2"/>
  <c r="O66" i="2"/>
  <c r="B66" i="2"/>
  <c r="M66" i="2"/>
  <c r="K66" i="2"/>
  <c r="D66" i="2"/>
  <c r="P66" i="2"/>
  <c r="H66" i="2"/>
  <c r="N66" i="2"/>
  <c r="E66" i="2"/>
  <c r="G66" i="2"/>
  <c r="B58" i="2"/>
  <c r="B59" i="2" s="1"/>
  <c r="E58" i="2"/>
  <c r="E59" i="2" s="1"/>
  <c r="R58" i="2"/>
  <c r="J58" i="2"/>
  <c r="J59" i="2" s="1"/>
  <c r="M58" i="2"/>
  <c r="M59" i="2" s="1"/>
  <c r="C58" i="2"/>
  <c r="C59" i="2" s="1"/>
  <c r="P58" i="2"/>
  <c r="P59" i="2" s="1"/>
  <c r="F58" i="2"/>
  <c r="F59" i="2" s="1"/>
  <c r="L58" i="2"/>
  <c r="L59" i="2" s="1"/>
  <c r="I58" i="2"/>
  <c r="I59" i="2" s="1"/>
  <c r="N58" i="2"/>
  <c r="N59" i="2" s="1"/>
  <c r="D58" i="2"/>
  <c r="D59" i="2" s="1"/>
  <c r="G58" i="2"/>
  <c r="G59" i="2" s="1"/>
  <c r="H58" i="2"/>
  <c r="H59" i="2" s="1"/>
  <c r="Q58" i="2"/>
  <c r="Q59" i="2" s="1"/>
  <c r="O58" i="2"/>
  <c r="O59" i="2" s="1"/>
  <c r="C20" i="2"/>
  <c r="B30" i="5" s="1"/>
  <c r="K58" i="2"/>
  <c r="L52" i="2"/>
  <c r="E52" i="2"/>
  <c r="AD46" i="2"/>
  <c r="M52" i="2"/>
  <c r="F52" i="2"/>
  <c r="AD44" i="2"/>
  <c r="C51" i="2"/>
  <c r="J52" i="2"/>
  <c r="I52" i="2"/>
  <c r="C28" i="5"/>
  <c r="Q93" i="2" l="1"/>
  <c r="U93" i="2"/>
  <c r="T93" i="2"/>
  <c r="V93" i="2"/>
  <c r="S93" i="2"/>
  <c r="R93" i="2"/>
  <c r="V87" i="2"/>
  <c r="U59" i="2"/>
  <c r="Q114" i="2"/>
  <c r="Q115" i="2" s="1"/>
  <c r="U114" i="2"/>
  <c r="T114" i="2"/>
  <c r="V114" i="2"/>
  <c r="S114" i="2"/>
  <c r="R114" i="2"/>
  <c r="R87" i="2"/>
  <c r="U87" i="2"/>
  <c r="T59" i="2"/>
  <c r="S87" i="2"/>
  <c r="S59" i="2"/>
  <c r="T87" i="2"/>
  <c r="V59" i="2"/>
  <c r="Q88" i="2"/>
  <c r="Q89" i="2" s="1"/>
  <c r="B34" i="5"/>
  <c r="M25" i="2"/>
  <c r="D43" i="5"/>
  <c r="I43" i="5" s="1"/>
  <c r="B51" i="5"/>
  <c r="D22" i="5"/>
  <c r="D34" i="5" s="1"/>
  <c r="B25" i="5" a="1"/>
  <c r="B25" i="5" s="1"/>
  <c r="M27" i="2" s="1"/>
  <c r="N27" i="2" s="1"/>
  <c r="B44" i="5"/>
  <c r="B46" i="5" s="1"/>
  <c r="N114" i="2"/>
  <c r="N115" i="2" s="1"/>
  <c r="I114" i="2"/>
  <c r="I115" i="2" s="1"/>
  <c r="C114" i="2"/>
  <c r="C115" i="2" s="1"/>
  <c r="O114" i="2"/>
  <c r="O115" i="2" s="1"/>
  <c r="M114" i="2"/>
  <c r="M115" i="2" s="1"/>
  <c r="E114" i="2"/>
  <c r="E115" i="2" s="1"/>
  <c r="K114" i="2"/>
  <c r="K115" i="2" s="1"/>
  <c r="G114" i="2"/>
  <c r="G115" i="2" s="1"/>
  <c r="E20" i="2"/>
  <c r="B65" i="5" s="1"/>
  <c r="B68" i="5" s="1"/>
  <c r="D114" i="2"/>
  <c r="D115" i="2" s="1"/>
  <c r="B114" i="2"/>
  <c r="B115" i="2" s="1"/>
  <c r="L114" i="2"/>
  <c r="L115" i="2" s="1"/>
  <c r="H114" i="2"/>
  <c r="H115" i="2" s="1"/>
  <c r="F114" i="2"/>
  <c r="F115" i="2" s="1"/>
  <c r="J114" i="2"/>
  <c r="J115" i="2" s="1"/>
  <c r="P114" i="2"/>
  <c r="P115" i="2" s="1"/>
  <c r="O93" i="2"/>
  <c r="P93" i="2"/>
  <c r="B93" i="2"/>
  <c r="D93" i="2"/>
  <c r="G93" i="2"/>
  <c r="I93" i="2"/>
  <c r="C93" i="2"/>
  <c r="E93" i="2"/>
  <c r="F93" i="2"/>
  <c r="L93" i="2"/>
  <c r="K93" i="2"/>
  <c r="J93" i="2"/>
  <c r="H93" i="2"/>
  <c r="M93" i="2"/>
  <c r="N93" i="2"/>
  <c r="AD108" i="2"/>
  <c r="O5" i="2" s="1"/>
  <c r="B107" i="2"/>
  <c r="AD101" i="2"/>
  <c r="D30" i="5"/>
  <c r="E88" i="2"/>
  <c r="M88" i="2"/>
  <c r="K88" i="2"/>
  <c r="O88" i="2"/>
  <c r="J88" i="2"/>
  <c r="I88" i="2"/>
  <c r="AD73" i="2"/>
  <c r="L60" i="2"/>
  <c r="AD75" i="2"/>
  <c r="F60" i="2"/>
  <c r="J60" i="2"/>
  <c r="I60" i="2"/>
  <c r="E60" i="2"/>
  <c r="AD66" i="2"/>
  <c r="M14" i="2" s="1"/>
  <c r="B60" i="2"/>
  <c r="B80" i="2"/>
  <c r="AD76" i="2"/>
  <c r="R59" i="2"/>
  <c r="AD58" i="2"/>
  <c r="K59" i="2"/>
  <c r="AD51" i="2"/>
  <c r="M4" i="2" s="1"/>
  <c r="C60" i="2"/>
  <c r="C32" i="5"/>
  <c r="G60" i="2"/>
  <c r="D60" i="2"/>
  <c r="M60" i="2"/>
  <c r="N60" i="2"/>
  <c r="H60" i="2"/>
  <c r="AD52" i="2"/>
  <c r="M5" i="2" s="1"/>
  <c r="P60" i="2"/>
  <c r="O60" i="2"/>
  <c r="Q60" i="2"/>
  <c r="Q61" i="2" s="1"/>
  <c r="Q62" i="2" s="1"/>
  <c r="T60" i="2" l="1"/>
  <c r="S115" i="2"/>
  <c r="V88" i="2"/>
  <c r="S60" i="2"/>
  <c r="S61" i="2" s="1"/>
  <c r="S62" i="2" s="1"/>
  <c r="U88" i="2"/>
  <c r="U89" i="2" s="1"/>
  <c r="U90" i="2" s="1"/>
  <c r="R88" i="2"/>
  <c r="R89" i="2" s="1"/>
  <c r="R90" i="2" s="1"/>
  <c r="T115" i="2"/>
  <c r="U60" i="2"/>
  <c r="U61" i="2" s="1"/>
  <c r="U62" i="2" s="1"/>
  <c r="S88" i="2"/>
  <c r="S89" i="2" s="1"/>
  <c r="V60" i="2"/>
  <c r="V61" i="2" s="1"/>
  <c r="V115" i="2"/>
  <c r="U65" i="2"/>
  <c r="T65" i="2"/>
  <c r="V65" i="2"/>
  <c r="S65" i="2"/>
  <c r="R65" i="2"/>
  <c r="T88" i="2"/>
  <c r="T89" i="2" s="1"/>
  <c r="T90" i="2" s="1"/>
  <c r="T61" i="2"/>
  <c r="R115" i="2"/>
  <c r="U115" i="2"/>
  <c r="V89" i="2"/>
  <c r="Q65" i="2"/>
  <c r="M22" i="2"/>
  <c r="M28" i="2"/>
  <c r="N25" i="2"/>
  <c r="N28" i="2" s="1"/>
  <c r="Q90" i="2"/>
  <c r="Q92" i="2" s="1"/>
  <c r="Q116" i="2"/>
  <c r="Q117" i="2" s="1"/>
  <c r="Q64" i="2"/>
  <c r="Q63" i="2" s="1"/>
  <c r="G43" i="5"/>
  <c r="J43" i="5" s="1"/>
  <c r="I22" i="5"/>
  <c r="I34" i="5" s="1"/>
  <c r="D25" i="5"/>
  <c r="B33" i="5"/>
  <c r="G22" i="5"/>
  <c r="G34" i="5" s="1"/>
  <c r="I116" i="2"/>
  <c r="I117" i="2" s="1"/>
  <c r="I118" i="2" s="1"/>
  <c r="B26" i="5"/>
  <c r="B28" i="5" s="1"/>
  <c r="H116" i="2"/>
  <c r="H117" i="2" s="1"/>
  <c r="H118" i="2" s="1"/>
  <c r="H65" i="2"/>
  <c r="O65" i="2"/>
  <c r="C65" i="2"/>
  <c r="P65" i="2"/>
  <c r="L65" i="2"/>
  <c r="D65" i="2"/>
  <c r="K65" i="2"/>
  <c r="G65" i="2"/>
  <c r="N65" i="2"/>
  <c r="I65" i="2"/>
  <c r="F65" i="2"/>
  <c r="E65" i="2"/>
  <c r="M65" i="2"/>
  <c r="B65" i="2"/>
  <c r="J65" i="2"/>
  <c r="G30" i="5"/>
  <c r="D65" i="5"/>
  <c r="B67" i="5"/>
  <c r="L116" i="2"/>
  <c r="L117" i="2" s="1"/>
  <c r="L118" i="2" s="1"/>
  <c r="AD107" i="2"/>
  <c r="O4" i="2" s="1"/>
  <c r="N116" i="2"/>
  <c r="N117" i="2" s="1"/>
  <c r="N118" i="2" s="1"/>
  <c r="I61" i="2"/>
  <c r="M116" i="2"/>
  <c r="M117" i="2" s="1"/>
  <c r="M118" i="2" s="1"/>
  <c r="C116" i="2"/>
  <c r="C117" i="2" s="1"/>
  <c r="D116" i="2"/>
  <c r="D117" i="2" s="1"/>
  <c r="D118" i="2" s="1"/>
  <c r="F61" i="2"/>
  <c r="E116" i="2"/>
  <c r="E117" i="2" s="1"/>
  <c r="I30" i="5"/>
  <c r="I89" i="2"/>
  <c r="M89" i="2"/>
  <c r="J89" i="2"/>
  <c r="O89" i="2"/>
  <c r="L88" i="2"/>
  <c r="L89" i="2" s="1"/>
  <c r="F88" i="2"/>
  <c r="F89" i="2" s="1"/>
  <c r="P88" i="2"/>
  <c r="P89" i="2" s="1"/>
  <c r="N88" i="2"/>
  <c r="N89" i="2" s="1"/>
  <c r="D88" i="2"/>
  <c r="D89" i="2" s="1"/>
  <c r="H88" i="2"/>
  <c r="H89" i="2" s="1"/>
  <c r="C88" i="2"/>
  <c r="C89" i="2" s="1"/>
  <c r="G88" i="2"/>
  <c r="G89" i="2" s="1"/>
  <c r="K89" i="2"/>
  <c r="E89" i="2"/>
  <c r="B79" i="2"/>
  <c r="J61" i="2"/>
  <c r="D61" i="2"/>
  <c r="H61" i="2"/>
  <c r="G61" i="2"/>
  <c r="C61" i="2"/>
  <c r="L61" i="2"/>
  <c r="O61" i="2"/>
  <c r="N61" i="2"/>
  <c r="E61" i="2"/>
  <c r="B78" i="2"/>
  <c r="AD78" i="2" s="1"/>
  <c r="AD77" i="2"/>
  <c r="B61" i="2"/>
  <c r="P61" i="2"/>
  <c r="M61" i="2"/>
  <c r="AD59" i="2"/>
  <c r="R60" i="2"/>
  <c r="R61" i="2" s="1"/>
  <c r="K60" i="2"/>
  <c r="V64" i="2" l="1"/>
  <c r="V68" i="2" s="1"/>
  <c r="V92" i="2"/>
  <c r="V91" i="2" s="1"/>
  <c r="V90" i="2"/>
  <c r="V62" i="2"/>
  <c r="O22" i="2"/>
  <c r="U121" i="2"/>
  <c r="T121" i="2"/>
  <c r="V121" i="2"/>
  <c r="S121" i="2"/>
  <c r="R121" i="2"/>
  <c r="T62" i="2"/>
  <c r="T64" i="2" s="1"/>
  <c r="S116" i="2"/>
  <c r="S117" i="2" s="1"/>
  <c r="S118" i="2" s="1"/>
  <c r="S90" i="2"/>
  <c r="S92" i="2" s="1"/>
  <c r="T116" i="2"/>
  <c r="T117" i="2" s="1"/>
  <c r="R92" i="2"/>
  <c r="V63" i="2"/>
  <c r="U92" i="2"/>
  <c r="U64" i="2"/>
  <c r="U116" i="2"/>
  <c r="U117" i="2" s="1"/>
  <c r="U118" i="2" s="1"/>
  <c r="R116" i="2"/>
  <c r="R117" i="2" s="1"/>
  <c r="R118" i="2" s="1"/>
  <c r="T92" i="2"/>
  <c r="V116" i="2"/>
  <c r="V117" i="2" s="1"/>
  <c r="V118" i="2" s="1"/>
  <c r="S64" i="2"/>
  <c r="Q68" i="2"/>
  <c r="Q118" i="2"/>
  <c r="Q120" i="2" s="1"/>
  <c r="Q91" i="2"/>
  <c r="Q96" i="2"/>
  <c r="D68" i="5"/>
  <c r="Q121" i="2"/>
  <c r="I120" i="2"/>
  <c r="J22" i="5"/>
  <c r="I25" i="5"/>
  <c r="D33" i="5"/>
  <c r="D26" i="5"/>
  <c r="J34" i="5"/>
  <c r="G25" i="5"/>
  <c r="L120" i="2"/>
  <c r="L119" i="2" s="1"/>
  <c r="D62" i="2"/>
  <c r="D64" i="2" s="1"/>
  <c r="D68" i="2" s="1"/>
  <c r="K90" i="2"/>
  <c r="K92" i="2" s="1"/>
  <c r="D90" i="2"/>
  <c r="D92" i="2" s="1"/>
  <c r="D91" i="2" s="1"/>
  <c r="L90" i="2"/>
  <c r="L92" i="2" s="1"/>
  <c r="I90" i="2"/>
  <c r="I92" i="2" s="1"/>
  <c r="I96" i="2" s="1"/>
  <c r="N120" i="2"/>
  <c r="P62" i="2"/>
  <c r="P64" i="2" s="1"/>
  <c r="P68" i="2" s="1"/>
  <c r="E62" i="2"/>
  <c r="C62" i="2"/>
  <c r="C64" i="2" s="1"/>
  <c r="J62" i="2"/>
  <c r="G90" i="2"/>
  <c r="G92" i="2" s="1"/>
  <c r="G91" i="2" s="1"/>
  <c r="N90" i="2"/>
  <c r="N92" i="2" s="1"/>
  <c r="O90" i="2"/>
  <c r="O92" i="2" s="1"/>
  <c r="O91" i="2" s="1"/>
  <c r="M120" i="2"/>
  <c r="O62" i="2"/>
  <c r="O64" i="2" s="1"/>
  <c r="O68" i="2" s="1"/>
  <c r="H62" i="2"/>
  <c r="H64" i="2" s="1"/>
  <c r="H68" i="2" s="1"/>
  <c r="E90" i="2"/>
  <c r="E92" i="2" s="1"/>
  <c r="H90" i="2"/>
  <c r="H92" i="2" s="1"/>
  <c r="F90" i="2"/>
  <c r="F92" i="2" s="1"/>
  <c r="F91" i="2" s="1"/>
  <c r="M90" i="2"/>
  <c r="D120" i="2"/>
  <c r="D124" i="2" s="1"/>
  <c r="M62" i="2"/>
  <c r="M64" i="2" s="1"/>
  <c r="M68" i="2" s="1"/>
  <c r="L62" i="2"/>
  <c r="L64" i="2" s="1"/>
  <c r="L68" i="2" s="1"/>
  <c r="B62" i="2"/>
  <c r="N62" i="2"/>
  <c r="N64" i="2" s="1"/>
  <c r="N68" i="2" s="1"/>
  <c r="G62" i="2"/>
  <c r="G64" i="2" s="1"/>
  <c r="G68" i="2" s="1"/>
  <c r="C90" i="2"/>
  <c r="C92" i="2" s="1"/>
  <c r="P90" i="2"/>
  <c r="P92" i="2" s="1"/>
  <c r="J90" i="2"/>
  <c r="J92" i="2" s="1"/>
  <c r="J91" i="2" s="1"/>
  <c r="F62" i="2"/>
  <c r="F64" i="2" s="1"/>
  <c r="F63" i="2" s="1"/>
  <c r="I62" i="2"/>
  <c r="I64" i="2" s="1"/>
  <c r="I63" i="2" s="1"/>
  <c r="H120" i="2"/>
  <c r="H124" i="2" s="1"/>
  <c r="M121" i="2"/>
  <c r="E121" i="2"/>
  <c r="I121" i="2"/>
  <c r="F121" i="2"/>
  <c r="K121" i="2"/>
  <c r="H121" i="2"/>
  <c r="B121" i="2"/>
  <c r="G121" i="2"/>
  <c r="D121" i="2"/>
  <c r="P121" i="2"/>
  <c r="J121" i="2"/>
  <c r="O121" i="2"/>
  <c r="L121" i="2"/>
  <c r="N121" i="2"/>
  <c r="C121" i="2"/>
  <c r="J30" i="5"/>
  <c r="I65" i="5"/>
  <c r="G65" i="5"/>
  <c r="G68" i="5" s="1"/>
  <c r="D67" i="5"/>
  <c r="E118" i="2"/>
  <c r="E120" i="2" s="1"/>
  <c r="G116" i="2"/>
  <c r="G117" i="2" s="1"/>
  <c r="B116" i="2"/>
  <c r="O116" i="2"/>
  <c r="O117" i="2" s="1"/>
  <c r="AD114" i="2"/>
  <c r="K116" i="2"/>
  <c r="K117" i="2" s="1"/>
  <c r="J116" i="2"/>
  <c r="J117" i="2" s="1"/>
  <c r="C118" i="2"/>
  <c r="C120" i="2" s="1"/>
  <c r="P116" i="2"/>
  <c r="P117" i="2" s="1"/>
  <c r="K61" i="2"/>
  <c r="B88" i="2"/>
  <c r="AD86" i="2"/>
  <c r="AD79" i="2"/>
  <c r="N4" i="2" s="1"/>
  <c r="AD60" i="2"/>
  <c r="R62" i="2"/>
  <c r="R64" i="2" s="1"/>
  <c r="B32" i="5"/>
  <c r="V96" i="2" l="1"/>
  <c r="T63" i="2"/>
  <c r="T68" i="2"/>
  <c r="S91" i="2"/>
  <c r="S96" i="2"/>
  <c r="T118" i="2"/>
  <c r="T120" i="2" s="1"/>
  <c r="R120" i="2"/>
  <c r="U91" i="2"/>
  <c r="U96" i="2"/>
  <c r="R91" i="2"/>
  <c r="R96" i="2"/>
  <c r="S68" i="2"/>
  <c r="S63" i="2"/>
  <c r="T91" i="2"/>
  <c r="T96" i="2"/>
  <c r="U63" i="2"/>
  <c r="U68" i="2"/>
  <c r="V120" i="2"/>
  <c r="U120" i="2"/>
  <c r="S120" i="2"/>
  <c r="Q119" i="2"/>
  <c r="Q123" i="2"/>
  <c r="Q124" i="2"/>
  <c r="I119" i="2"/>
  <c r="I124" i="2"/>
  <c r="D28" i="5"/>
  <c r="D32" i="5" s="1"/>
  <c r="L124" i="2"/>
  <c r="I67" i="5"/>
  <c r="I68" i="5"/>
  <c r="J25" i="5"/>
  <c r="G33" i="5"/>
  <c r="G26" i="5"/>
  <c r="I33" i="5"/>
  <c r="I26" i="5"/>
  <c r="D119" i="2"/>
  <c r="J96" i="2"/>
  <c r="C91" i="2"/>
  <c r="C96" i="2"/>
  <c r="K91" i="2"/>
  <c r="K96" i="2"/>
  <c r="L91" i="2"/>
  <c r="L96" i="2"/>
  <c r="E91" i="2"/>
  <c r="E96" i="2"/>
  <c r="P91" i="2"/>
  <c r="P96" i="2"/>
  <c r="H91" i="2"/>
  <c r="H96" i="2"/>
  <c r="J118" i="2"/>
  <c r="J120" i="2" s="1"/>
  <c r="J124" i="2" s="1"/>
  <c r="G96" i="2"/>
  <c r="K62" i="2"/>
  <c r="K64" i="2" s="1"/>
  <c r="K63" i="2" s="1"/>
  <c r="H119" i="2"/>
  <c r="O118" i="2"/>
  <c r="O120" i="2" s="1"/>
  <c r="I91" i="2"/>
  <c r="O96" i="2"/>
  <c r="D96" i="2"/>
  <c r="P118" i="2"/>
  <c r="P120" i="2" s="1"/>
  <c r="P119" i="2" s="1"/>
  <c r="G118" i="2"/>
  <c r="G120" i="2" s="1"/>
  <c r="B64" i="2"/>
  <c r="B63" i="2" s="1"/>
  <c r="L63" i="2"/>
  <c r="M92" i="2"/>
  <c r="M96" i="2" s="1"/>
  <c r="J64" i="2"/>
  <c r="J68" i="2" s="1"/>
  <c r="E64" i="2"/>
  <c r="E68" i="2" s="1"/>
  <c r="F68" i="2"/>
  <c r="I68" i="2"/>
  <c r="J65" i="5"/>
  <c r="G67" i="5"/>
  <c r="F67" i="5" s="1"/>
  <c r="AD61" i="2"/>
  <c r="O63" i="2"/>
  <c r="N63" i="2"/>
  <c r="K118" i="2"/>
  <c r="AD115" i="2"/>
  <c r="E119" i="2"/>
  <c r="E124" i="2"/>
  <c r="M119" i="2"/>
  <c r="M124" i="2"/>
  <c r="N119" i="2"/>
  <c r="N124" i="2"/>
  <c r="C119" i="2"/>
  <c r="C124" i="2"/>
  <c r="F116" i="2"/>
  <c r="F117" i="2" s="1"/>
  <c r="AD121" i="2"/>
  <c r="O13" i="2" s="1"/>
  <c r="B117" i="2"/>
  <c r="AD93" i="2"/>
  <c r="N13" i="2" s="1"/>
  <c r="AD65" i="2"/>
  <c r="M13" i="2" s="1"/>
  <c r="D63" i="2"/>
  <c r="H63" i="2"/>
  <c r="F96" i="2"/>
  <c r="N91" i="2"/>
  <c r="N96" i="2"/>
  <c r="P63" i="2"/>
  <c r="M63" i="2"/>
  <c r="B89" i="2"/>
  <c r="AD87" i="2"/>
  <c r="AD80" i="2"/>
  <c r="N5" i="2" s="1"/>
  <c r="G63" i="2"/>
  <c r="R68" i="2"/>
  <c r="R63" i="2"/>
  <c r="C63" i="2"/>
  <c r="C68" i="2"/>
  <c r="T119" i="2" l="1"/>
  <c r="T124" i="2"/>
  <c r="T123" i="2"/>
  <c r="T125" i="2" s="1"/>
  <c r="S119" i="2"/>
  <c r="S124" i="2"/>
  <c r="S123" i="2"/>
  <c r="S125" i="2" s="1"/>
  <c r="U119" i="2"/>
  <c r="U124" i="2"/>
  <c r="U123" i="2"/>
  <c r="U125" i="2" s="1"/>
  <c r="V119" i="2"/>
  <c r="V123" i="2"/>
  <c r="V125" i="2" s="1"/>
  <c r="V124" i="2"/>
  <c r="R119" i="2"/>
  <c r="R124" i="2"/>
  <c r="R123" i="2"/>
  <c r="I28" i="5"/>
  <c r="J33" i="5"/>
  <c r="J26" i="5"/>
  <c r="J28" i="5" s="1"/>
  <c r="J67" i="5"/>
  <c r="O19" i="2" s="1"/>
  <c r="J68" i="5"/>
  <c r="F26" i="5"/>
  <c r="G28" i="5"/>
  <c r="G32" i="5" s="1"/>
  <c r="J63" i="2"/>
  <c r="AD62" i="2"/>
  <c r="K120" i="2"/>
  <c r="K119" i="2" s="1"/>
  <c r="F118" i="2"/>
  <c r="F120" i="2" s="1"/>
  <c r="E63" i="2"/>
  <c r="AD63" i="2" s="1"/>
  <c r="B68" i="2"/>
  <c r="M91" i="2"/>
  <c r="P124" i="2"/>
  <c r="J119" i="2"/>
  <c r="AD116" i="2"/>
  <c r="K68" i="2"/>
  <c r="AD117" i="2"/>
  <c r="B118" i="2"/>
  <c r="O119" i="2"/>
  <c r="O124" i="2"/>
  <c r="G119" i="2"/>
  <c r="G124" i="2"/>
  <c r="AD64" i="2"/>
  <c r="M12" i="2" s="1"/>
  <c r="B90" i="2"/>
  <c r="B92" i="2" s="1"/>
  <c r="R38" i="2"/>
  <c r="R41" i="2" s="1"/>
  <c r="Q38" i="2"/>
  <c r="Q41" i="2" s="1"/>
  <c r="R125" i="2" l="1"/>
  <c r="I32" i="5"/>
  <c r="C15" i="2"/>
  <c r="F28" i="5"/>
  <c r="F32" i="5" s="1"/>
  <c r="J32" i="5"/>
  <c r="M19" i="2"/>
  <c r="K124" i="2"/>
  <c r="AD118" i="2"/>
  <c r="F124" i="2"/>
  <c r="F119" i="2"/>
  <c r="B120" i="2"/>
  <c r="B124" i="2" s="1"/>
  <c r="M56" i="2"/>
  <c r="M67" i="2" s="1"/>
  <c r="B56" i="2"/>
  <c r="B67" i="2" s="1"/>
  <c r="N56" i="2"/>
  <c r="N67" i="2" s="1"/>
  <c r="G56" i="2"/>
  <c r="G67" i="2" s="1"/>
  <c r="O38" i="2"/>
  <c r="O41" i="2" s="1"/>
  <c r="Q125" i="2"/>
  <c r="J38" i="2"/>
  <c r="J41" i="2" s="1"/>
  <c r="K38" i="2"/>
  <c r="K41" i="2" s="1"/>
  <c r="D38" i="2"/>
  <c r="D41" i="2" s="1"/>
  <c r="E38" i="2"/>
  <c r="E41" i="2" s="1"/>
  <c r="I38" i="2"/>
  <c r="I41" i="2" s="1"/>
  <c r="M38" i="2"/>
  <c r="M41" i="2" s="1"/>
  <c r="G38" i="2"/>
  <c r="G41" i="2" s="1"/>
  <c r="B38" i="2"/>
  <c r="D48" i="5" s="1"/>
  <c r="C38" i="2"/>
  <c r="C41" i="2" s="1"/>
  <c r="N38" i="2"/>
  <c r="N41" i="2" s="1"/>
  <c r="L38" i="2"/>
  <c r="L41" i="2" s="1"/>
  <c r="H38" i="2"/>
  <c r="H41" i="2" s="1"/>
  <c r="AD88" i="2"/>
  <c r="P38" i="2"/>
  <c r="P41" i="2" s="1"/>
  <c r="F38" i="2"/>
  <c r="F41" i="2" s="1"/>
  <c r="AD90" i="2"/>
  <c r="AD92" i="2"/>
  <c r="N12" i="2" s="1"/>
  <c r="B91" i="2"/>
  <c r="AD91" i="2" s="1"/>
  <c r="B96" i="2"/>
  <c r="AD89" i="2"/>
  <c r="B12" i="14" l="1"/>
  <c r="B17" i="14" s="1"/>
  <c r="H15" i="14" s="1"/>
  <c r="V56" i="2"/>
  <c r="V67" i="2" s="1"/>
  <c r="V69" i="2" s="1"/>
  <c r="S56" i="2"/>
  <c r="S67" i="2" s="1"/>
  <c r="S69" i="2" s="1"/>
  <c r="T56" i="2"/>
  <c r="T67" i="2" s="1"/>
  <c r="T69" i="2" s="1"/>
  <c r="U56" i="2"/>
  <c r="U67" i="2" s="1"/>
  <c r="U69" i="2" s="1"/>
  <c r="R56" i="2"/>
  <c r="R67" i="2" s="1"/>
  <c r="R69" i="2" s="1"/>
  <c r="I56" i="2"/>
  <c r="I67" i="2" s="1"/>
  <c r="C56" i="2"/>
  <c r="C67" i="2" s="1"/>
  <c r="D56" i="2"/>
  <c r="D67" i="2" s="1"/>
  <c r="D69" i="2" s="1"/>
  <c r="P56" i="2"/>
  <c r="P67" i="2" s="1"/>
  <c r="P69" i="2" s="1"/>
  <c r="J56" i="2"/>
  <c r="J67" i="2" s="1"/>
  <c r="J69" i="2" s="1"/>
  <c r="K56" i="2"/>
  <c r="K67" i="2" s="1"/>
  <c r="K69" i="2" s="1"/>
  <c r="O56" i="2"/>
  <c r="O67" i="2" s="1"/>
  <c r="O69" i="2" s="1"/>
  <c r="Q56" i="2"/>
  <c r="Q67" i="2" s="1"/>
  <c r="Q69" i="2" s="1"/>
  <c r="L56" i="2"/>
  <c r="L67" i="2" s="1"/>
  <c r="L69" i="2" s="1"/>
  <c r="F56" i="2"/>
  <c r="F67" i="2" s="1"/>
  <c r="F69" i="2" s="1"/>
  <c r="E56" i="2"/>
  <c r="E67" i="2" s="1"/>
  <c r="E69" i="2" s="1"/>
  <c r="H56" i="2"/>
  <c r="H67" i="2" s="1"/>
  <c r="H69" i="2" s="1"/>
  <c r="B15" i="14"/>
  <c r="H13" i="14" s="1"/>
  <c r="B14" i="14"/>
  <c r="H12" i="14" s="1"/>
  <c r="B16" i="14"/>
  <c r="H14" i="14" s="1"/>
  <c r="M69" i="2"/>
  <c r="G69" i="2"/>
  <c r="B119" i="2"/>
  <c r="AD119" i="2" s="1"/>
  <c r="AD120" i="2"/>
  <c r="O12" i="2" s="1"/>
  <c r="I48" i="5"/>
  <c r="I69" i="2"/>
  <c r="G48" i="5"/>
  <c r="B41" i="2"/>
  <c r="N69" i="2"/>
  <c r="AD38" i="2"/>
  <c r="L6" i="2" s="1"/>
  <c r="L15" i="2" s="1"/>
  <c r="L20" i="2" s="1"/>
  <c r="AD67" i="2" l="1"/>
  <c r="AD56" i="2"/>
  <c r="M9" i="2" s="1"/>
  <c r="M15" i="2" s="1"/>
  <c r="M17" i="2" s="1"/>
  <c r="C69" i="2"/>
  <c r="L17" i="2"/>
  <c r="B69" i="2"/>
  <c r="J48" i="5"/>
  <c r="AD41" i="2"/>
  <c r="D41" i="5"/>
  <c r="I41" i="5" s="1"/>
  <c r="D42" i="5"/>
  <c r="N22" i="2" s="1"/>
  <c r="L16" i="2"/>
  <c r="M16" i="2" l="1"/>
  <c r="M20" i="2"/>
  <c r="AD69" i="2"/>
  <c r="D51" i="5"/>
  <c r="B13" i="14"/>
  <c r="I42" i="5"/>
  <c r="I51" i="5" s="1"/>
  <c r="G42" i="5"/>
  <c r="G51" i="5" s="1"/>
  <c r="G41" i="5"/>
  <c r="J41" i="5" s="1"/>
  <c r="B50" i="5"/>
  <c r="D40" i="5"/>
  <c r="D44" i="5" l="1"/>
  <c r="D46" i="5" s="1"/>
  <c r="D52" i="5"/>
  <c r="J42" i="5"/>
  <c r="J51" i="5" s="1"/>
  <c r="I40" i="5"/>
  <c r="D50" i="5"/>
  <c r="G40" i="5"/>
  <c r="G52" i="5" s="1"/>
  <c r="I44" i="5" l="1"/>
  <c r="I46" i="5" s="1"/>
  <c r="D15" i="2" s="1"/>
  <c r="I52" i="5"/>
  <c r="G44" i="5"/>
  <c r="J40" i="5"/>
  <c r="T84" i="2" l="1"/>
  <c r="T95" i="2" s="1"/>
  <c r="T97" i="2" s="1"/>
  <c r="V84" i="2"/>
  <c r="V95" i="2" s="1"/>
  <c r="V97" i="2" s="1"/>
  <c r="S84" i="2"/>
  <c r="S95" i="2" s="1"/>
  <c r="S97" i="2" s="1"/>
  <c r="U84" i="2"/>
  <c r="U95" i="2" s="1"/>
  <c r="U97" i="2" s="1"/>
  <c r="R84" i="2"/>
  <c r="R95" i="2" s="1"/>
  <c r="R97" i="2" s="1"/>
  <c r="F44" i="5"/>
  <c r="G46" i="5"/>
  <c r="G50" i="5" s="1"/>
  <c r="J44" i="5"/>
  <c r="J52" i="5"/>
  <c r="H123" i="2"/>
  <c r="H125" i="2" s="1"/>
  <c r="F123" i="2"/>
  <c r="F125" i="2" s="1"/>
  <c r="B123" i="2"/>
  <c r="C123" i="2"/>
  <c r="C125" i="2" s="1"/>
  <c r="M123" i="2"/>
  <c r="M125" i="2" s="1"/>
  <c r="N123" i="2"/>
  <c r="N125" i="2" s="1"/>
  <c r="K123" i="2"/>
  <c r="K125" i="2" s="1"/>
  <c r="J123" i="2"/>
  <c r="J125" i="2" s="1"/>
  <c r="I123" i="2"/>
  <c r="I125" i="2" s="1"/>
  <c r="G123" i="2"/>
  <c r="G125" i="2" s="1"/>
  <c r="P123" i="2"/>
  <c r="P125" i="2" s="1"/>
  <c r="D123" i="2"/>
  <c r="D125" i="2" s="1"/>
  <c r="O123" i="2"/>
  <c r="O125" i="2" s="1"/>
  <c r="L123" i="2"/>
  <c r="L125" i="2" s="1"/>
  <c r="J46" i="5" l="1"/>
  <c r="J50" i="5" s="1"/>
  <c r="C12" i="14"/>
  <c r="C14" i="14" s="1"/>
  <c r="I12" i="14" s="1"/>
  <c r="Q84" i="2"/>
  <c r="Q95" i="2" s="1"/>
  <c r="Q97" i="2" s="1"/>
  <c r="F46" i="5"/>
  <c r="F50" i="5" s="1"/>
  <c r="I50" i="5"/>
  <c r="N19" i="2"/>
  <c r="J84" i="2"/>
  <c r="J95" i="2" s="1"/>
  <c r="J97" i="2" s="1"/>
  <c r="K84" i="2"/>
  <c r="K95" i="2" s="1"/>
  <c r="K97" i="2" s="1"/>
  <c r="I84" i="2"/>
  <c r="I95" i="2" s="1"/>
  <c r="I97" i="2" s="1"/>
  <c r="O84" i="2"/>
  <c r="O95" i="2" s="1"/>
  <c r="O97" i="2" s="1"/>
  <c r="M84" i="2"/>
  <c r="M95" i="2" s="1"/>
  <c r="M97" i="2" s="1"/>
  <c r="H84" i="2"/>
  <c r="H95" i="2" s="1"/>
  <c r="H97" i="2" s="1"/>
  <c r="C84" i="2"/>
  <c r="C95" i="2" s="1"/>
  <c r="C97" i="2" s="1"/>
  <c r="B84" i="2"/>
  <c r="B95" i="2" s="1"/>
  <c r="E84" i="2"/>
  <c r="E95" i="2" s="1"/>
  <c r="E97" i="2" s="1"/>
  <c r="G84" i="2"/>
  <c r="G95" i="2" s="1"/>
  <c r="G97" i="2" s="1"/>
  <c r="L84" i="2"/>
  <c r="L95" i="2" s="1"/>
  <c r="L97" i="2" s="1"/>
  <c r="D84" i="2"/>
  <c r="D95" i="2" s="1"/>
  <c r="D97" i="2" s="1"/>
  <c r="N84" i="2"/>
  <c r="N95" i="2" s="1"/>
  <c r="N97" i="2" s="1"/>
  <c r="F84" i="2"/>
  <c r="F95" i="2" s="1"/>
  <c r="F97" i="2" s="1"/>
  <c r="P84" i="2"/>
  <c r="P95" i="2" s="1"/>
  <c r="P97" i="2" s="1"/>
  <c r="B125" i="2"/>
  <c r="AD112" i="2"/>
  <c r="O9" i="2" s="1"/>
  <c r="O15" i="2" s="1"/>
  <c r="E123" i="2"/>
  <c r="E125" i="2" s="1"/>
  <c r="C17" i="14" l="1"/>
  <c r="I15" i="14" s="1"/>
  <c r="C15" i="14"/>
  <c r="I13" i="14" s="1"/>
  <c r="C16" i="14"/>
  <c r="I14" i="14" s="1"/>
  <c r="O20" i="2"/>
  <c r="AD84" i="2"/>
  <c r="N9" i="2" s="1"/>
  <c r="N15" i="2" s="1"/>
  <c r="N16" i="2" s="1"/>
  <c r="O17" i="2"/>
  <c r="D13" i="14" s="1"/>
  <c r="O16" i="2"/>
  <c r="AD125" i="2"/>
  <c r="AD123" i="2"/>
  <c r="AD95" i="2"/>
  <c r="B97" i="2"/>
  <c r="AD97" i="2" s="1"/>
  <c r="N17" i="2" l="1"/>
  <c r="C13" i="14" s="1"/>
  <c r="N20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<sst xmlns="http://schemas.openxmlformats.org/spreadsheetml/2006/main" count="608" uniqueCount="304">
  <si>
    <t>Laag</t>
  </si>
  <si>
    <t>Middel</t>
  </si>
  <si>
    <t>Hoog</t>
  </si>
  <si>
    <t>E</t>
  </si>
  <si>
    <t>Aanname</t>
  </si>
  <si>
    <t>G</t>
  </si>
  <si>
    <t>EB</t>
  </si>
  <si>
    <t>Groothandelstarieven</t>
  </si>
  <si>
    <t>m3</t>
  </si>
  <si>
    <t>Besparing</t>
  </si>
  <si>
    <t>jr</t>
  </si>
  <si>
    <t>Start</t>
  </si>
  <si>
    <t>E prijs</t>
  </si>
  <si>
    <t>G prijs</t>
  </si>
  <si>
    <t>Prijs scenario</t>
  </si>
  <si>
    <t>Jaar</t>
  </si>
  <si>
    <t>Kol prijs</t>
  </si>
  <si>
    <t>G kosten voor</t>
  </si>
  <si>
    <t>G m3 voor</t>
  </si>
  <si>
    <t>G m3 na</t>
  </si>
  <si>
    <t>Rente</t>
  </si>
  <si>
    <t>Verh G&gt;E</t>
  </si>
  <si>
    <t>E kWh na</t>
  </si>
  <si>
    <t>Actief</t>
  </si>
  <si>
    <t>Verbruik E</t>
  </si>
  <si>
    <t>kWh</t>
  </si>
  <si>
    <t>Verbruik G</t>
  </si>
  <si>
    <t>* &lt;plafond</t>
  </si>
  <si>
    <t>Plafond</t>
  </si>
  <si>
    <t>Prijs &lt; plafond</t>
  </si>
  <si>
    <t>G kosten na</t>
  </si>
  <si>
    <t>E kosten na</t>
  </si>
  <si>
    <t>CV afschrijving</t>
  </si>
  <si>
    <t>CV onderhoud</t>
  </si>
  <si>
    <t>WP afschrijving</t>
  </si>
  <si>
    <t>WP onderhoud</t>
  </si>
  <si>
    <t>per jaar</t>
  </si>
  <si>
    <t>CV aanschaf</t>
  </si>
  <si>
    <t>jaar</t>
  </si>
  <si>
    <t>incl installatie</t>
  </si>
  <si>
    <t>https://www.eigenhuis.nl/energie/maatregelen/duurzaam-verwarmen/warmtepomp/alles-over-de-warmtepomp#/</t>
  </si>
  <si>
    <t>Totaal</t>
  </si>
  <si>
    <t>Levensduur WP</t>
  </si>
  <si>
    <t>Eigenhuis noemt tot 20 jaar</t>
  </si>
  <si>
    <t>https://warmtepomp-weetjes.nl/gerelateerd/economische-en-praktijk-levensduur/</t>
  </si>
  <si>
    <t>https://www.feenstra.com/zorgelooswonen/levensduur-van-een-warmtepomp/</t>
  </si>
  <si>
    <t>Diverse bronnen 12-15 jaar bij goed gebruik</t>
  </si>
  <si>
    <t>https://www.daikin.be/nl_be/warmtepompen/informatie/levensduur.html#:~:text=De%20gemiddelde%20levensduur%20van%20een%20warmtepomp%20wordt%20theoretisch%20vastgelegd%20rond,je%20warmtepomp%20goed%20te%20onderhouden.</t>
  </si>
  <si>
    <t>https://cvketelcollectief.consumentenbond.nl/intergas-hrea2824</t>
  </si>
  <si>
    <t>PV aanschaf</t>
  </si>
  <si>
    <t>PV gelijktijdigheid verwarming</t>
  </si>
  <si>
    <t>PV gelijktijdigheid verw+tap</t>
  </si>
  <si>
    <t>PV afschrijving</t>
  </si>
  <si>
    <t>PV opwek kWh/jr</t>
  </si>
  <si>
    <t>PV opbrengst kWh</t>
  </si>
  <si>
    <t>PV salderen</t>
  </si>
  <si>
    <t>PV eigen verbruik</t>
  </si>
  <si>
    <t>PV terugleveren</t>
  </si>
  <si>
    <t>PV salderen max</t>
  </si>
  <si>
    <t>PV opbrengst €</t>
  </si>
  <si>
    <t>% salderen</t>
  </si>
  <si>
    <t>Teruglevertarief</t>
  </si>
  <si>
    <t>PV opbrengst €/kWh</t>
  </si>
  <si>
    <t>CV</t>
  </si>
  <si>
    <t>Som</t>
  </si>
  <si>
    <t>PV</t>
  </si>
  <si>
    <t>Netbeheer</t>
  </si>
  <si>
    <t>Vaste kosten gas</t>
  </si>
  <si>
    <t>Vaste leveringskosten</t>
  </si>
  <si>
    <t>Totaal vast</t>
  </si>
  <si>
    <t>Vaste kosten G</t>
  </si>
  <si>
    <t>PV investering</t>
  </si>
  <si>
    <t>%</t>
  </si>
  <si>
    <t>€</t>
  </si>
  <si>
    <t>kWh/jr</t>
  </si>
  <si>
    <t>€/kWh/jr</t>
  </si>
  <si>
    <t>% ACM</t>
  </si>
  <si>
    <t>gem 2021-2023</t>
  </si>
  <si>
    <t>CPI</t>
  </si>
  <si>
    <t>Vast</t>
  </si>
  <si>
    <t>GJ</t>
  </si>
  <si>
    <t>ACM</t>
  </si>
  <si>
    <t>Vaste kosten G/W</t>
  </si>
  <si>
    <t>Huidige situatie/CV</t>
  </si>
  <si>
    <t>EUR/GJ ex BTW</t>
  </si>
  <si>
    <t>EUR/GJ incl BTW</t>
  </si>
  <si>
    <t>G/W kosten</t>
  </si>
  <si>
    <t>Greenchoice 2023</t>
  </si>
  <si>
    <t>Stedin 2023 (via Greenchoice)</t>
  </si>
  <si>
    <t>CPI operationele kosten</t>
  </si>
  <si>
    <t>ACM: CPI2018-2022 gem is 1,88%</t>
  </si>
  <si>
    <t>Netto investering</t>
  </si>
  <si>
    <t>Totaal isolatie + WP</t>
  </si>
  <si>
    <t>PV terugloop opbrengst</t>
  </si>
  <si>
    <t>Soft Energy</t>
  </si>
  <si>
    <t>PV onderhoud</t>
  </si>
  <si>
    <t>Groenpand: nagenoeg onderhoudsvrij, alleen schoonmaken</t>
  </si>
  <si>
    <t>Besparing G WP</t>
  </si>
  <si>
    <t>Besparing G Isolatie</t>
  </si>
  <si>
    <t>Dak</t>
  </si>
  <si>
    <t>E kosten WP</t>
  </si>
  <si>
    <t>jaarlijkse lasten</t>
  </si>
  <si>
    <t>Type woning</t>
  </si>
  <si>
    <t>Verbruik</t>
  </si>
  <si>
    <t>Scenario</t>
  </si>
  <si>
    <t>Maatregel</t>
  </si>
  <si>
    <t>Investering</t>
  </si>
  <si>
    <t>Subsidie</t>
  </si>
  <si>
    <t>Afschrijving</t>
  </si>
  <si>
    <t>Netto investering 15jr</t>
  </si>
  <si>
    <t>Spouw</t>
  </si>
  <si>
    <t>Vloer</t>
  </si>
  <si>
    <t>Glas HR++</t>
  </si>
  <si>
    <t>Schuifpui</t>
  </si>
  <si>
    <t>Kieren&amp;koudebruggen</t>
  </si>
  <si>
    <t>Ventilatie</t>
  </si>
  <si>
    <t>Ramen nok+dakkapel</t>
  </si>
  <si>
    <t>LT radiatoren</t>
  </si>
  <si>
    <t>Inductie koken</t>
  </si>
  <si>
    <t>Aansluiting</t>
  </si>
  <si>
    <t>Netto investering WP+ISO</t>
  </si>
  <si>
    <t>WP+ISO afschrijving</t>
  </si>
  <si>
    <t>kWth</t>
  </si>
  <si>
    <t>Vermogen WP</t>
  </si>
  <si>
    <t>All Electric</t>
  </si>
  <si>
    <t>PV systeem</t>
  </si>
  <si>
    <t>Inflatie</t>
  </si>
  <si>
    <t>ISDE</t>
  </si>
  <si>
    <t>Totaal warmtepomp</t>
  </si>
  <si>
    <t>Totaal isolatie + WP + PV</t>
  </si>
  <si>
    <t>N</t>
  </si>
  <si>
    <t>J</t>
  </si>
  <si>
    <t>= +/- kWe</t>
  </si>
  <si>
    <t>CV ketel</t>
  </si>
  <si>
    <t>Indicatieve formule Deltares: https://www.linkedin.com/pulse/mijn-huis-geschikt-voor-een-warmtepomp-ivo-pothof/?trackingId=9JasMppMRE%2BjBThj%2FhiBKA%3D%3D</t>
  </si>
  <si>
    <t>Berekening in Business Case</t>
  </si>
  <si>
    <t>Prijs/WP ex BTW</t>
  </si>
  <si>
    <t>6-8 panelen</t>
  </si>
  <si>
    <t>&gt;14 panelen</t>
  </si>
  <si>
    <t xml:space="preserve">8-14 panelen </t>
  </si>
  <si>
    <t>kWh min</t>
  </si>
  <si>
    <t>Obv. TNO, 2022, p.12 "Update effect afbouw salderingsregeling op de 
terugverdientijd van investeringen in 
zonnepanelen"</t>
  </si>
  <si>
    <t>PVT opwek kWh/jr</t>
  </si>
  <si>
    <t>Inflatiecorrectie startjaar vs. 2023 prijzen</t>
  </si>
  <si>
    <t>https://www.warmtefonds.nl/particulieren/actuele-rentetarieven</t>
  </si>
  <si>
    <t>Warmtetarieven</t>
  </si>
  <si>
    <t>2023 ACM + CPI input</t>
  </si>
  <si>
    <t>Opslag</t>
  </si>
  <si>
    <t>Tarief</t>
  </si>
  <si>
    <t>Variabel</t>
  </si>
  <si>
    <t>Groothandelsprijs + opslag (methode ACM)</t>
  </si>
  <si>
    <t>2023 ACM, daarna volgt berekening overhead Gas</t>
  </si>
  <si>
    <t>Prijsplafond gas en elektriciteit 2023</t>
  </si>
  <si>
    <t>Prijsplafond warmte 2023</t>
  </si>
  <si>
    <t>Praktijkvoorbeeld daadwerkelijke kosten onderhoudsabonnment + materiaal  2017-2022 gemiddeld</t>
  </si>
  <si>
    <t>Simulatie praktijkdata opwek + gasverbruik; PV opbrengst gelijk aan vraag WP</t>
  </si>
  <si>
    <t>€/m3</t>
  </si>
  <si>
    <t>€/MWh</t>
  </si>
  <si>
    <t>€/kWh</t>
  </si>
  <si>
    <t>€/GJ</t>
  </si>
  <si>
    <t>Netto 15 jaar incl inflatie</t>
  </si>
  <si>
    <t>Netto totaal incl inflatie</t>
  </si>
  <si>
    <t>Totaal kosten over afschrijvingsperiode warmtepomp</t>
  </si>
  <si>
    <t>Rente aftrek</t>
  </si>
  <si>
    <t>3% correctie t.o.v. maximum aftrek percentage omdat het niet exact berekend wordt</t>
  </si>
  <si>
    <t>Gemiddeld</t>
  </si>
  <si>
    <t>Luslengte per woning</t>
  </si>
  <si>
    <t>Lus (individueel)</t>
  </si>
  <si>
    <t>W/m</t>
  </si>
  <si>
    <t>Lus (collectief)</t>
  </si>
  <si>
    <t>Bodem WP</t>
  </si>
  <si>
    <t>VHGM business case</t>
  </si>
  <si>
    <t>VHGM business case, 2-20w</t>
  </si>
  <si>
    <t>Kosten lus</t>
  </si>
  <si>
    <t>m1</t>
  </si>
  <si>
    <t>Leidingwerk woningen dicht op elkaar</t>
  </si>
  <si>
    <t>m</t>
  </si>
  <si>
    <t>Kosten leidingwerk per meter</t>
  </si>
  <si>
    <t>Keuzeopties J/N</t>
  </si>
  <si>
    <t>Inkoopvoordeel warmtepomp</t>
  </si>
  <si>
    <t>VHGM: 10% over installatie kosten = +/- 5% totaal</t>
  </si>
  <si>
    <t>Leidingwerk</t>
  </si>
  <si>
    <t>Warmtepomp incl installatie</t>
  </si>
  <si>
    <t>Basisprijs bodemWP 6kW</t>
  </si>
  <si>
    <t>VHGM + prijslijst NIBE 20222 F1255</t>
  </si>
  <si>
    <t>Bodemlus (VBWW)</t>
  </si>
  <si>
    <t>Warmtepomp bodem mini-warmtenet</t>
  </si>
  <si>
    <t>Warmtepomp bodem individueel</t>
  </si>
  <si>
    <t>Bodem WP MWN</t>
  </si>
  <si>
    <t>Bodem WP Indi</t>
  </si>
  <si>
    <t>Bodem WP-individueel</t>
  </si>
  <si>
    <t>Bodem WP mini-warmtenet</t>
  </si>
  <si>
    <t>Totaal 15 jaar</t>
  </si>
  <si>
    <t>Totaal 20 jaar</t>
  </si>
  <si>
    <t>Lucht-warmtepomp individueel</t>
  </si>
  <si>
    <t>Lucht WP indi</t>
  </si>
  <si>
    <t>Lucht-WP</t>
  </si>
  <si>
    <t>Inkoopprijs incl BTW + 40% installatiekosten, Daikin 6kW</t>
  </si>
  <si>
    <t>https://www.rvo.nl/sites/default/files/2023-12/19-12-2023-ISDE-Meldcodelijst-Warmtepompen.pdf</t>
  </si>
  <si>
    <t>Meldcode KA12261</t>
  </si>
  <si>
    <t>Op basis actuele prijzen onderhoudscontracten</t>
  </si>
  <si>
    <t>https://www.energiewacht.nl/kennisbank/warmtepompen/alles-over-de-warmtepomp</t>
  </si>
  <si>
    <t>https://www.climasense.nl/lucht-water-warmtepompen-lt/1864-daikin-altherma-3-r-f-6-kw-vloermodel-hc-180-liter-9-kw-buh.html</t>
  </si>
  <si>
    <t>Inschatting bij goed gebruik</t>
  </si>
  <si>
    <t>Geluidskasten</t>
  </si>
  <si>
    <t>Vaak nodig bij tussenwoning</t>
  </si>
  <si>
    <t>https://www.akoestiekwinkel.nl/dice-05</t>
  </si>
  <si>
    <t>Lucht WP-individueel</t>
  </si>
  <si>
    <t>Geluidskast</t>
  </si>
  <si>
    <t>Restwaarde</t>
  </si>
  <si>
    <t>Herinvestering jr16</t>
  </si>
  <si>
    <t>TCO/jr</t>
  </si>
  <si>
    <t>Inkoopkorting WP collectief</t>
  </si>
  <si>
    <t>Totaal - restwaarde</t>
  </si>
  <si>
    <t>7 jaar</t>
  </si>
  <si>
    <t>10 jaar</t>
  </si>
  <si>
    <t>15 jaar</t>
  </si>
  <si>
    <t>Tarieven Warmtefonds 17-1-2024</t>
  </si>
  <si>
    <t>Aflosruimte</t>
  </si>
  <si>
    <t>Rentetarief</t>
  </si>
  <si>
    <t>Netto incl aftrek</t>
  </si>
  <si>
    <t>20 jaar</t>
  </si>
  <si>
    <t>Totaallast lening</t>
  </si>
  <si>
    <t>% spaargeld</t>
  </si>
  <si>
    <t>PV gelijktijdigheid</t>
  </si>
  <si>
    <t>Impact lening termijn</t>
  </si>
  <si>
    <t>Crisis</t>
  </si>
  <si>
    <t>t/m 2030 Futures +30%; na 2030 constant</t>
  </si>
  <si>
    <t>t/m 2030 Futures; na 2030 constant</t>
  </si>
  <si>
    <t>t/m 2030 Futures -30%; na 2030 constant</t>
  </si>
  <si>
    <t>t/m 2028 Futures +30%; 2029-2030: obv gas * factor; na 2030 constant</t>
  </si>
  <si>
    <t>t/m 2028 Futures; 2029-2030: obv gas * factor; na 2030 constant</t>
  </si>
  <si>
    <t>t/m 2028 Futures -30%; 2029-2030: obv gas * factor; na 2030 constant</t>
  </si>
  <si>
    <t>Consumententarieven - levering incl BTW</t>
  </si>
  <si>
    <t>factor</t>
  </si>
  <si>
    <t>Analyse marges 2023 obv ACM dashboard vs futures groothandel; incl BTW effect</t>
  </si>
  <si>
    <t>Groothandel * marge factor</t>
  </si>
  <si>
    <t>Consumententarieven - incl Energiebelasting &amp; BTW</t>
  </si>
  <si>
    <t>Obv basispad belastingplan 2023/2024</t>
  </si>
  <si>
    <t>Levering + energiebelasting incl BTW</t>
  </si>
  <si>
    <t>Scenario hoog + 2x crisis '26-'28 &amp; '33-'35 vergelijkbaar met energiecrisis</t>
  </si>
  <si>
    <t>Conform wetsvoorstel</t>
  </si>
  <si>
    <t>2023&amp;2024 Greenchoice actueel, &gt;=2025 80% leveringstarief excl EB (conform voorstel AMvB feb. 2023)</t>
  </si>
  <si>
    <t>Conform tarief scenario hoog: TLT volgt de prijspiek niet</t>
  </si>
  <si>
    <t>ISDE lijst WW-WP</t>
  </si>
  <si>
    <t>Projectkosten / onvoorzien</t>
  </si>
  <si>
    <t>Boordiepte</t>
  </si>
  <si>
    <t>VHGM rapport p17, gemiddelde drie cassussen in Utrecht</t>
  </si>
  <si>
    <t>W/lus</t>
  </si>
  <si>
    <t>Woning / lus</t>
  </si>
  <si>
    <t>Extra lengte tbv interferentie &lt;20w</t>
  </si>
  <si>
    <t>Extra lengte tbv interferentie &gt;20w</t>
  </si>
  <si>
    <t>Totaal &gt;15 jaar</t>
  </si>
  <si>
    <t>Keuze</t>
  </si>
  <si>
    <t>Prijs Warmtepomp</t>
  </si>
  <si>
    <t>Basisprijs</t>
  </si>
  <si>
    <t>Incl installatie</t>
  </si>
  <si>
    <t>Obv Bosch Compress 7800i LMWF prijslijst</t>
  </si>
  <si>
    <t>Obv Bosch Compress 6000 LMW prijslijst</t>
  </si>
  <si>
    <t>Obv Daikin Altherma 3 prijzen incl 180L boiler, zie Excel</t>
  </si>
  <si>
    <t>kWmin</t>
  </si>
  <si>
    <t>kWmax</t>
  </si>
  <si>
    <t>Voordeel lus</t>
  </si>
  <si>
    <t>Voordeel installatie</t>
  </si>
  <si>
    <t>Totaal voordeel</t>
  </si>
  <si>
    <t>Inkoopvoordeel door minder lussen</t>
  </si>
  <si>
    <t>Extra inkoopvoordeel volume</t>
  </si>
  <si>
    <t>Min</t>
  </si>
  <si>
    <t>Max</t>
  </si>
  <si>
    <t xml:space="preserve">Extra lengte tvv interferentie </t>
  </si>
  <si>
    <t>VHGM business case; iets meer gestaffeld</t>
  </si>
  <si>
    <t>+15% VHGM</t>
  </si>
  <si>
    <t>Beperkt voordeel als 1 lus per woning</t>
  </si>
  <si>
    <t>+25% VHGM</t>
  </si>
  <si>
    <t>+35% VHGM</t>
  </si>
  <si>
    <t>Benchmark met voordeel HVE business case</t>
  </si>
  <si>
    <t>Interferentie bij individueel</t>
  </si>
  <si>
    <t>bruto</t>
  </si>
  <si>
    <t>incl rente</t>
  </si>
  <si>
    <t>Verschil projectkosten</t>
  </si>
  <si>
    <t>SCOP</t>
  </si>
  <si>
    <t>% actuele vs adviesbesparing</t>
  </si>
  <si>
    <t>PBL SA 2020 = 20% besparing (na-isolatie dak/spouw/vloer/glas) = +/- 67% EnergieGarant</t>
  </si>
  <si>
    <t>Bron</t>
  </si>
  <si>
    <t>Investering&amp;subsidie: Milieucentraal, besparing: EnergieGarant</t>
  </si>
  <si>
    <t>Investering&amp;subsidie: EnergieGarant, geen subsidie, besparing: EnergieGarant</t>
  </si>
  <si>
    <t>Investering&amp;subsidie: Milieucentraal, excl schuifpui = 70%, besparing: EnergieGarant, 70%</t>
  </si>
  <si>
    <t>Investering&amp;subsidie: prijsindicaties, subsidie 30% totaal, besparing: EnergieGarant 30% totaal</t>
  </si>
  <si>
    <t>Investering: ruwe schatting, minder dan jaren'60; besparing: 5% van warmteverlies * 30% besparing</t>
  </si>
  <si>
    <t>Investering: obv actuele prijzen decentrale ventilatie + €500 installatie/advies; besparing: obv kengetallen Milieucentraal &amp; Verbeter-je-huis, onderkant bandbreedte</t>
  </si>
  <si>
    <t>nvt</t>
  </si>
  <si>
    <t>Investering: EnergieGarant + tarieven Jaga, besparing: EnergieGarant</t>
  </si>
  <si>
    <t>Investering: CE-Delft +10% inflatie; subsidie: RVO; besparing: Milieucentraal/1200m3 verbruik</t>
  </si>
  <si>
    <t>Investering: Stedin rekenmodule 1x35A&gt;3x25A</t>
  </si>
  <si>
    <t>Jaren '90, tussenwoning</t>
  </si>
  <si>
    <t>Tip:
Op de tab "Isolatie+" vind je voorbeeld kengetallen van isolatie maatregelen voor een jaren '90 woning. Je kan deze kopieren en plakken naar de cellen hiernaast</t>
  </si>
  <si>
    <t>Tip: als je een woning hebt uit een andere bouwperiode kan je o.a. op de website van Milieucentraal passende kengetallen vinden</t>
  </si>
  <si>
    <t>Instructie</t>
  </si>
  <si>
    <t>Aantal woningen collectief</t>
  </si>
  <si>
    <t>Leiding lengte per woning (m)</t>
  </si>
  <si>
    <t>WP+ISO financiering</t>
  </si>
  <si>
    <t>CV financiering</t>
  </si>
  <si>
    <t>PV financiering</t>
  </si>
  <si>
    <t>Er is een apart document beschikbaar waarin de verantwoording van het model en een korte instructie voor gebruik te vinden 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</si>
</sst>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6" formatCode="&quot;€&quot;\ #,##0;[Red]&quot;€&quot;\ \-#,##0"/>
    <numFmt numFmtId="8" formatCode="&quot;€&quot;\ #,##0.00;[Red]&quot;€&quot;\ \-#,##0.00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.00"/>
    <numFmt numFmtId="165" formatCode="&quot;€&quot;\ #,##0.0"/>
    <numFmt numFmtId="166" formatCode="&quot;€&quot;\ #,##0"/>
    <numFmt numFmtId="167" formatCode="_ * #,##0.0_ ;_ * \-#,##0.0_ ;_ * &quot;-&quot;??_ ;_ @_ "/>
    <numFmt numFmtId="168" formatCode="_ * #,##0_ ;_ * \-#,##0_ ;_ * &quot;-&quot;??_ ;_ @_ "/>
    <numFmt numFmtId="169" formatCode="_ * #,##0.0_ ;_ * \-#,##0.0_ ;_ * &quot;-&quot;?_ ;_ @_ "/>
    <numFmt numFmtId="170" formatCode="0.0%"/>
    <numFmt numFmtId="171" formatCode="#,##0_ ;\-#,##0\ "/>
    <numFmt numFmtId="172" formatCode="#,##0.0_ ;\-#,##0.0\ "/>
    <numFmt numFmtId="173" formatCode="_ * #,##0.000_ ;_ * \-#,##0.000_ ;_ * &quot;-&quot;??_ ;_ @_ "/>
    <numFmt numFmtId="174" formatCode="_ &quot;€&quot;\ * #,##0_ ;_ &quot;€&quot;\ * \-#,##0_ ;_ &quot;€&quot;\ * &quot;-&quot;??_ ;_ @_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  <font>
      <b/>
      <sz val="11"/>
      <color rgb="FF000000"/>
      <name val="Calibri"/>
      <family val="2"/>
    </font>
    <font>
      <i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 applyNumberFormat="0" applyFill="0" applyBorder="0" applyAlignment="0" applyProtection="0"/>
    <xf numFmtId="44" fontId="1" fillId="0" borderId="0" applyFont="0" applyFill="0" applyBorder="0" applyAlignment="0" applyProtection="0"/>
  </cellStyleXfs>
  <cellXfs count="86">
    <xf numFmtId="0" fontId="0" fillId="0" borderId="0" xfId="0"/>
    <xf numFmtId="43" fontId="0" fillId="0" borderId="0" xfId="1" applyFont="1"/>
    <xf numFmtId="164" fontId="0" fillId="0" borderId="0" xfId="0" applyNumberFormat="1"/>
    <xf numFmtId="0" fontId="3" fillId="0" borderId="0" xfId="0" applyFont="1"/>
    <xf numFmtId="0" fontId="4" fillId="0" borderId="0" xfId="0" applyFont="1"/>
    <xf numFmtId="1" fontId="0" fillId="0" borderId="0" xfId="0" applyNumberFormat="1"/>
    <xf numFmtId="165" fontId="0" fillId="0" borderId="0" xfId="0" applyNumberFormat="1"/>
    <xf numFmtId="9" fontId="0" fillId="0" borderId="0" xfId="0" applyNumberFormat="1"/>
    <xf numFmtId="166" fontId="0" fillId="0" borderId="0" xfId="0" applyNumberFormat="1"/>
    <xf numFmtId="167" fontId="0" fillId="0" borderId="0" xfId="1" applyNumberFormat="1" applyFont="1"/>
    <xf numFmtId="168" fontId="0" fillId="0" borderId="0" xfId="1" applyNumberFormat="1" applyFont="1"/>
    <xf numFmtId="0" fontId="0" fillId="3" borderId="0" xfId="0" applyFill="1" applyAlignment="1">
      <alignment horizontal="center"/>
    </xf>
    <xf numFmtId="9" fontId="0" fillId="3" borderId="0" xfId="0" applyNumberFormat="1" applyFill="1" applyAlignment="1">
      <alignment horizontal="center"/>
    </xf>
    <xf numFmtId="0" fontId="0" fillId="0" borderId="0" xfId="0" quotePrefix="1"/>
    <xf numFmtId="166" fontId="3" fillId="0" borderId="0" xfId="0" applyNumberFormat="1" applyFont="1"/>
    <xf numFmtId="0" fontId="2" fillId="2" borderId="0" xfId="0" applyFont="1" applyFill="1"/>
    <xf numFmtId="164" fontId="0" fillId="0" borderId="0" xfId="1" applyNumberFormat="1" applyFont="1"/>
    <xf numFmtId="166" fontId="0" fillId="0" borderId="0" xfId="1" applyNumberFormat="1" applyFont="1"/>
    <xf numFmtId="9" fontId="0" fillId="0" borderId="0" xfId="0" applyNumberFormat="1" applyAlignment="1">
      <alignment horizontal="center"/>
    </xf>
    <xf numFmtId="9" fontId="0" fillId="3" borderId="0" xfId="2" applyFont="1" applyFill="1" applyAlignment="1">
      <alignment horizontal="center"/>
    </xf>
    <xf numFmtId="9" fontId="0" fillId="4" borderId="0" xfId="0" applyNumberFormat="1" applyFill="1"/>
    <xf numFmtId="169" fontId="0" fillId="0" borderId="0" xfId="0" applyNumberFormat="1"/>
    <xf numFmtId="0" fontId="4" fillId="5" borderId="0" xfId="0" applyFont="1" applyFill="1"/>
    <xf numFmtId="0" fontId="4" fillId="5" borderId="0" xfId="0" quotePrefix="1" applyFont="1" applyFill="1"/>
    <xf numFmtId="0" fontId="2" fillId="6" borderId="0" xfId="0" applyFont="1" applyFill="1"/>
    <xf numFmtId="9" fontId="0" fillId="0" borderId="0" xfId="2" applyFont="1"/>
    <xf numFmtId="170" fontId="0" fillId="0" borderId="0" xfId="0" applyNumberFormat="1"/>
    <xf numFmtId="6" fontId="3" fillId="0" borderId="0" xfId="0" applyNumberFormat="1" applyFont="1"/>
    <xf numFmtId="9" fontId="3" fillId="0" borderId="0" xfId="0" applyNumberFormat="1" applyFont="1"/>
    <xf numFmtId="0" fontId="5" fillId="0" borderId="0" xfId="0" applyFont="1" applyAlignment="1">
      <alignment horizontal="left" readingOrder="1"/>
    </xf>
    <xf numFmtId="8" fontId="0" fillId="0" borderId="0" xfId="0" applyNumberFormat="1"/>
    <xf numFmtId="0" fontId="6" fillId="0" borderId="0" xfId="3"/>
    <xf numFmtId="0" fontId="3" fillId="0" borderId="0" xfId="0" applyFont="1" applyAlignment="1">
      <alignment horizontal="center" wrapText="1"/>
    </xf>
    <xf numFmtId="0" fontId="7" fillId="0" borderId="0" xfId="0" applyFont="1" applyAlignment="1">
      <alignment horizontal="left" readingOrder="1"/>
    </xf>
    <xf numFmtId="9" fontId="3" fillId="0" borderId="0" xfId="2" applyFont="1"/>
    <xf numFmtId="170" fontId="0" fillId="0" borderId="0" xfId="2" applyNumberFormat="1" applyFont="1"/>
    <xf numFmtId="10" fontId="0" fillId="0" borderId="0" xfId="0" applyNumberFormat="1"/>
    <xf numFmtId="170" fontId="0" fillId="3" borderId="0" xfId="0" applyNumberFormat="1" applyFill="1" applyAlignment="1">
      <alignment horizontal="center"/>
    </xf>
    <xf numFmtId="164" fontId="0" fillId="0" borderId="0" xfId="0" quotePrefix="1" applyNumberFormat="1"/>
    <xf numFmtId="0" fontId="0" fillId="0" borderId="0" xfId="0" applyAlignment="1">
      <alignment horizontal="center"/>
    </xf>
    <xf numFmtId="171" fontId="0" fillId="3" borderId="0" xfId="1" applyNumberFormat="1" applyFont="1" applyFill="1" applyAlignment="1">
      <alignment horizontal="center"/>
    </xf>
    <xf numFmtId="172" fontId="0" fillId="3" borderId="0" xfId="1" applyNumberFormat="1" applyFont="1" applyFill="1" applyAlignment="1">
      <alignment horizontal="center"/>
    </xf>
    <xf numFmtId="6" fontId="0" fillId="0" borderId="0" xfId="0" applyNumberFormat="1"/>
    <xf numFmtId="173" fontId="0" fillId="0" borderId="0" xfId="1" applyNumberFormat="1" applyFont="1"/>
    <xf numFmtId="174" fontId="5" fillId="0" borderId="0" xfId="0" applyNumberFormat="1" applyFont="1"/>
    <xf numFmtId="174" fontId="0" fillId="0" borderId="0" xfId="0" applyNumberFormat="1"/>
    <xf numFmtId="168" fontId="3" fillId="0" borderId="0" xfId="1" applyNumberFormat="1" applyFont="1"/>
    <xf numFmtId="166" fontId="0" fillId="0" borderId="0" xfId="2" applyNumberFormat="1" applyFont="1"/>
    <xf numFmtId="168" fontId="0" fillId="0" borderId="0" xfId="0" applyNumberFormat="1"/>
    <xf numFmtId="44" fontId="0" fillId="0" borderId="0" xfId="4" applyFont="1"/>
    <xf numFmtId="167" fontId="3" fillId="0" borderId="0" xfId="1" applyNumberFormat="1" applyFont="1"/>
    <xf numFmtId="0" fontId="6" fillId="0" borderId="0" xfId="3" applyAlignment="1">
      <alignment vertical="center"/>
    </xf>
    <xf numFmtId="0" fontId="6" fillId="0" borderId="0" xfId="3" applyAlignment="1">
      <alignment horizontal="left" vertical="center"/>
    </xf>
    <xf numFmtId="166" fontId="0" fillId="0" borderId="0" xfId="2" applyNumberFormat="1" applyFont="1" applyFill="1"/>
    <xf numFmtId="164" fontId="0" fillId="0" borderId="0" xfId="0" applyNumberFormat="1" applyAlignment="1">
      <alignment horizontal="center"/>
    </xf>
    <xf numFmtId="0" fontId="4" fillId="7" borderId="0" xfId="0" applyFont="1" applyFill="1"/>
    <xf numFmtId="0" fontId="0" fillId="7" borderId="0" xfId="0" applyFill="1"/>
    <xf numFmtId="9" fontId="0" fillId="7" borderId="0" xfId="0" applyNumberFormat="1" applyFill="1"/>
    <xf numFmtId="0" fontId="3" fillId="7" borderId="0" xfId="0" applyFont="1" applyFill="1"/>
    <xf numFmtId="0" fontId="0" fillId="7" borderId="0" xfId="0" quotePrefix="1" applyFill="1"/>
    <xf numFmtId="166" fontId="0" fillId="7" borderId="0" xfId="0" applyNumberFormat="1" applyFill="1"/>
    <xf numFmtId="165" fontId="0" fillId="7" borderId="0" xfId="0" applyNumberFormat="1" applyFill="1"/>
    <xf numFmtId="43" fontId="4" fillId="0" borderId="0" xfId="1" applyFont="1"/>
    <xf numFmtId="164" fontId="0" fillId="7" borderId="0" xfId="0" applyNumberFormat="1" applyFill="1"/>
    <xf numFmtId="43" fontId="0" fillId="7" borderId="0" xfId="1" applyFont="1" applyFill="1"/>
    <xf numFmtId="9" fontId="0" fillId="0" borderId="0" xfId="0" quotePrefix="1" applyNumberFormat="1" applyAlignment="1">
      <alignment horizontal="left"/>
    </xf>
    <xf numFmtId="168" fontId="0" fillId="0" borderId="0" xfId="1" applyNumberFormat="1" applyFont="1" applyAlignment="1">
      <alignment horizontal="center"/>
    </xf>
    <xf numFmtId="9" fontId="0" fillId="0" borderId="0" xfId="1" applyNumberFormat="1" applyFont="1"/>
    <xf numFmtId="1" fontId="0" fillId="3" borderId="0" xfId="1" applyNumberFormat="1" applyFont="1" applyFill="1" applyAlignment="1">
      <alignment horizontal="center"/>
    </xf>
    <xf numFmtId="9" fontId="0" fillId="0" borderId="0" xfId="2" applyFont="1" applyFill="1" applyAlignment="1">
      <alignment horizontal="center"/>
    </xf>
    <xf numFmtId="171" fontId="0" fillId="0" borderId="0" xfId="1" applyNumberFormat="1" applyFont="1" applyFill="1" applyAlignment="1">
      <alignment horizontal="center"/>
    </xf>
    <xf numFmtId="9" fontId="0" fillId="0" borderId="0" xfId="0" applyNumberFormat="1" applyAlignment="1">
      <alignment horizontal="left"/>
    </xf>
    <xf numFmtId="0" fontId="8" fillId="0" borderId="0" xfId="0" applyFont="1"/>
    <xf numFmtId="9" fontId="0" fillId="2" borderId="0" xfId="0" applyNumberFormat="1" applyFill="1"/>
    <xf numFmtId="9" fontId="0" fillId="0" borderId="0" xfId="2" applyFont="1" applyFill="1"/>
    <xf numFmtId="9" fontId="0" fillId="3" borderId="0" xfId="2" applyFont="1" applyFill="1"/>
    <xf numFmtId="166" fontId="0" fillId="3" borderId="0" xfId="0" applyNumberFormat="1" applyFill="1"/>
    <xf numFmtId="0" fontId="0" fillId="3" borderId="0" xfId="0" applyFill="1"/>
    <xf numFmtId="9" fontId="0" fillId="3" borderId="0" xfId="0" applyNumberFormat="1" applyFill="1"/>
    <xf numFmtId="10" fontId="0" fillId="3" borderId="0" xfId="0" applyNumberFormat="1" applyFill="1"/>
    <xf numFmtId="166" fontId="0" fillId="0" borderId="0" xfId="0" applyNumberFormat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0" fillId="8" borderId="0" xfId="0" applyFill="1" applyAlignment="1">
      <alignment horizontal="left" vertical="top" wrapText="1"/>
    </xf>
    <xf numFmtId="0" fontId="0" fillId="8" borderId="0" xfId="0" applyFill="1" applyAlignment="1">
      <alignment horizontal="left" vertical="top"/>
    </xf>
    <xf numFmtId="0" fontId="0" fillId="0" borderId="0" xfId="0" applyFill="1" applyAlignment="1">
      <alignment horizontal="center"/>
    </xf>
  </cellXfs>
  <cellStyles count="5">
    <cellStyle name="Hyperlink" xfId="3" builtinId="8"/>
    <cellStyle name="Komma" xfId="1" builtinId="3"/>
    <cellStyle name="Procent" xfId="2" builtinId="5"/>
    <cellStyle name="Standaard" xfId="0" builtinId="0"/>
    <cellStyle name="Valuta" xfId="4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180974</xdr:colOff>
      <xdr:row>2</xdr:row>
      <xdr:rowOff>142875</xdr:rowOff>
    </xdr:from>
    <xdr:to>
      <xdr:col>1</xdr:col>
      <xdr:colOff>4429125</xdr:colOff>
      <xdr:row>25</xdr:row>
      <xdr:rowOff>81375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5B9A1406-F640-4069-2414-91749752212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9422" r="9755"/>
        <a:stretch/>
      </xdr:blipFill>
      <xdr:spPr>
        <a:xfrm>
          <a:off x="180974" y="523875"/>
          <a:ext cx="6210301" cy="4320000"/>
        </a:xfrm>
        <a:prstGeom prst="rect">
          <a:avLst/>
        </a:prstGeom>
        <a:ln>
          <a:solidFill>
            <a:schemeClr val="accent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nergiewacht.nl/kennisbank/warmtepompen/alles-over-de-warmtepomp" TargetMode="External"/><Relationship Id="rId2" Type="http://schemas.openxmlformats.org/officeDocument/2006/relationships/hyperlink" Target="https://www.rvo.nl/sites/default/files/2023-12/19-12-2023-ISDE-Meldcodelijst-Warmtepompen.pdf" TargetMode="External"/><Relationship Id="rId1" Type="http://schemas.openxmlformats.org/officeDocument/2006/relationships/hyperlink" Target="https://cvketelcollectief.consumentenbond.nl/intergas-hrea2824" TargetMode="External"/><Relationship Id="rId6" Type="http://schemas.openxmlformats.org/officeDocument/2006/relationships/printerSettings" Target="../printerSettings/printerSettings4.bin"/><Relationship Id="rId5" Type="http://schemas.openxmlformats.org/officeDocument/2006/relationships/hyperlink" Target="https://www.energiewacht.nl/kennisbank/warmtepompen/alles-over-de-warmtepomp" TargetMode="External"/><Relationship Id="rId4" Type="http://schemas.openxmlformats.org/officeDocument/2006/relationships/hyperlink" Target="https://www.akoestiekwinkel.nl/dice-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0C35F0-EA3C-48C9-BC9B-15AA1F354786}">
  <dimension ref="A1:A45"/>
  <sheetViews>
    <sheetView tabSelected="1" workbookViewId="0">
      <selection activeCell="C7" sqref="C7"/>
    </sheetView>
  </sheetViews>
  <sheetFormatPr defaultRowHeight="15" x14ac:dyDescent="0.25"/>
  <cols>
    <col min="1" max="1" width="29.42578125" customWidth="1"/>
    <col min="2" max="2" width="83.85546875" customWidth="1"/>
  </cols>
  <sheetData>
    <row r="1" spans="1:1" x14ac:dyDescent="0.25">
      <c r="A1" s="4" t="s">
        <v>297</v>
      </c>
    </row>
    <row r="2" spans="1:1" x14ac:dyDescent="0.25">
      <c r="A2" t="s">
        <v>303</v>
      </c>
    </row>
    <row r="38" spans="1:1" x14ac:dyDescent="0.25">
      <c r="A38" s="3"/>
    </row>
    <row r="43" spans="1:1" x14ac:dyDescent="0.25">
      <c r="A43" s="3"/>
    </row>
    <row r="44" spans="1:1" x14ac:dyDescent="0.25">
      <c r="A44" s="3"/>
    </row>
    <row r="45" spans="1:1" x14ac:dyDescent="0.25">
      <c r="A45" s="3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89DC5-16D9-4AC1-9318-7F56894C6850}">
  <sheetPr>
    <tabColor theme="9"/>
  </sheetPr>
  <dimension ref="A1:AH125"/>
  <sheetViews>
    <sheetView zoomScaleNormal="100" workbookViewId="0">
      <selection activeCell="M19" sqref="M19"/>
    </sheetView>
  </sheetViews>
  <sheetFormatPr defaultRowHeight="15" x14ac:dyDescent="0.25"/>
  <cols>
    <col min="1" max="1" width="26.140625" customWidth="1"/>
    <col min="2" max="2" width="16.7109375" bestFit="1" customWidth="1"/>
    <col min="3" max="5" width="9.5703125" bestFit="1" customWidth="1"/>
    <col min="6" max="6" width="10.28515625" bestFit="1" customWidth="1"/>
    <col min="7" max="7" width="9.5703125" bestFit="1" customWidth="1"/>
    <col min="8" max="8" width="12.28515625" bestFit="1" customWidth="1"/>
    <col min="9" max="10" width="9.5703125" bestFit="1" customWidth="1"/>
    <col min="11" max="11" width="9.5703125" customWidth="1"/>
    <col min="12" max="14" width="9.5703125" bestFit="1" customWidth="1"/>
    <col min="15" max="15" width="9.7109375" customWidth="1"/>
    <col min="16" max="16" width="10.28515625" bestFit="1" customWidth="1"/>
    <col min="17" max="17" width="12.5703125" customWidth="1"/>
    <col min="18" max="19" width="10.28515625" bestFit="1" customWidth="1"/>
    <col min="20" max="31" width="9.28515625" customWidth="1"/>
  </cols>
  <sheetData>
    <row r="1" spans="1:34" x14ac:dyDescent="0.25">
      <c r="A1" t="s">
        <v>26</v>
      </c>
      <c r="B1" t="s">
        <v>8</v>
      </c>
      <c r="C1" s="11">
        <v>1000</v>
      </c>
      <c r="J1" s="4" t="s">
        <v>162</v>
      </c>
    </row>
    <row r="2" spans="1:34" ht="15" customHeight="1" x14ac:dyDescent="0.25">
      <c r="A2" t="s">
        <v>24</v>
      </c>
      <c r="B2" t="s">
        <v>25</v>
      </c>
      <c r="C2" s="11">
        <v>2000</v>
      </c>
      <c r="L2" s="82" t="s">
        <v>63</v>
      </c>
      <c r="M2" s="81" t="s">
        <v>188</v>
      </c>
      <c r="N2" s="81" t="s">
        <v>189</v>
      </c>
      <c r="O2" s="81" t="s">
        <v>195</v>
      </c>
    </row>
    <row r="3" spans="1:34" ht="15" customHeight="1" x14ac:dyDescent="0.25">
      <c r="A3" t="s">
        <v>98</v>
      </c>
      <c r="B3" t="s">
        <v>72</v>
      </c>
      <c r="C3" s="18">
        <f>Investering!E16</f>
        <v>0.18479999999999999</v>
      </c>
      <c r="F3" s="48"/>
      <c r="L3" s="82"/>
      <c r="M3" s="81"/>
      <c r="N3" s="81"/>
      <c r="O3" s="81"/>
      <c r="Q3" s="25"/>
    </row>
    <row r="4" spans="1:34" x14ac:dyDescent="0.25">
      <c r="A4" t="s">
        <v>97</v>
      </c>
      <c r="B4" t="s">
        <v>72</v>
      </c>
      <c r="C4" s="18">
        <f>Investering!E26</f>
        <v>1</v>
      </c>
      <c r="J4" t="s">
        <v>86</v>
      </c>
      <c r="L4" s="8">
        <f>AD37</f>
        <v>19986.411128017699</v>
      </c>
      <c r="M4" s="8">
        <f t="shared" ref="M4:M10" si="0">AD51</f>
        <v>0</v>
      </c>
      <c r="N4" s="42">
        <f t="shared" ref="N4:N10" si="1">AD79</f>
        <v>0</v>
      </c>
      <c r="O4" s="8">
        <f>AD107</f>
        <v>0</v>
      </c>
    </row>
    <row r="5" spans="1:34" x14ac:dyDescent="0.25">
      <c r="A5" t="s">
        <v>11</v>
      </c>
      <c r="B5" t="s">
        <v>10</v>
      </c>
      <c r="C5" s="11">
        <v>2025</v>
      </c>
      <c r="G5" s="8"/>
      <c r="J5" t="s">
        <v>100</v>
      </c>
      <c r="M5" s="8">
        <f t="shared" si="0"/>
        <v>6010.7364972161195</v>
      </c>
      <c r="N5" s="42">
        <f t="shared" si="1"/>
        <v>6010.7364972161195</v>
      </c>
      <c r="O5" s="8">
        <f t="shared" ref="O5:O10" si="2">AD108</f>
        <v>8071.5604391187899</v>
      </c>
    </row>
    <row r="6" spans="1:34" x14ac:dyDescent="0.25">
      <c r="A6" t="s">
        <v>42</v>
      </c>
      <c r="B6" t="s">
        <v>10</v>
      </c>
      <c r="C6" s="85">
        <v>15</v>
      </c>
      <c r="J6" t="s">
        <v>301</v>
      </c>
      <c r="L6" s="8">
        <f>AD38</f>
        <v>1932.4485651534192</v>
      </c>
      <c r="M6" s="8">
        <f t="shared" si="0"/>
        <v>0</v>
      </c>
      <c r="N6" s="42">
        <f t="shared" si="1"/>
        <v>0</v>
      </c>
      <c r="O6" s="8">
        <f t="shared" si="2"/>
        <v>0</v>
      </c>
    </row>
    <row r="7" spans="1:34" x14ac:dyDescent="0.25">
      <c r="A7" t="s">
        <v>142</v>
      </c>
      <c r="B7" t="s">
        <v>74</v>
      </c>
      <c r="C7" s="70">
        <v>0</v>
      </c>
      <c r="J7" t="s">
        <v>33</v>
      </c>
      <c r="L7" s="8">
        <f>AD39</f>
        <v>2523.3585532781181</v>
      </c>
      <c r="M7" s="8">
        <f t="shared" si="0"/>
        <v>0</v>
      </c>
      <c r="N7" s="42">
        <f t="shared" si="1"/>
        <v>0</v>
      </c>
      <c r="O7" s="8">
        <f t="shared" si="2"/>
        <v>0</v>
      </c>
    </row>
    <row r="8" spans="1:34" x14ac:dyDescent="0.25">
      <c r="A8" t="s">
        <v>14</v>
      </c>
      <c r="B8" s="13"/>
      <c r="C8" s="11" t="s">
        <v>1</v>
      </c>
      <c r="J8" t="s">
        <v>82</v>
      </c>
      <c r="L8" s="8">
        <f>AD40</f>
        <v>5089.5070727028533</v>
      </c>
      <c r="M8" s="8">
        <f t="shared" si="0"/>
        <v>0</v>
      </c>
      <c r="N8" s="42">
        <f t="shared" si="1"/>
        <v>0</v>
      </c>
      <c r="O8" s="8">
        <f t="shared" si="2"/>
        <v>0</v>
      </c>
    </row>
    <row r="9" spans="1:34" x14ac:dyDescent="0.25">
      <c r="A9" t="s">
        <v>223</v>
      </c>
      <c r="B9" s="13"/>
      <c r="C9" s="12">
        <v>0</v>
      </c>
      <c r="J9" t="s">
        <v>300</v>
      </c>
      <c r="L9" s="8"/>
      <c r="M9" s="8">
        <f t="shared" si="0"/>
        <v>23552.975572076466</v>
      </c>
      <c r="N9" s="8">
        <f t="shared" si="1"/>
        <v>26476.271122694547</v>
      </c>
      <c r="O9" s="8">
        <f t="shared" si="2"/>
        <v>21732.920453891962</v>
      </c>
      <c r="Q9" s="8"/>
    </row>
    <row r="10" spans="1:34" x14ac:dyDescent="0.25">
      <c r="J10" t="s">
        <v>35</v>
      </c>
      <c r="M10" s="8">
        <f t="shared" si="0"/>
        <v>2204.9106568163261</v>
      </c>
      <c r="N10" s="8">
        <f t="shared" si="1"/>
        <v>2204.9106568163261</v>
      </c>
      <c r="O10" s="8">
        <f t="shared" si="2"/>
        <v>2204.9106568163261</v>
      </c>
    </row>
    <row r="11" spans="1:34" x14ac:dyDescent="0.25">
      <c r="M11" s="8"/>
      <c r="N11" s="8"/>
      <c r="O11" s="8"/>
      <c r="AH11" t="s">
        <v>253</v>
      </c>
    </row>
    <row r="12" spans="1:34" x14ac:dyDescent="0.25">
      <c r="C12" s="81" t="s">
        <v>188</v>
      </c>
      <c r="D12" s="81" t="s">
        <v>189</v>
      </c>
      <c r="E12" s="81" t="s">
        <v>195</v>
      </c>
      <c r="J12" t="s">
        <v>59</v>
      </c>
      <c r="M12" s="8">
        <f>-AD64</f>
        <v>-4550.1008576032127</v>
      </c>
      <c r="N12" s="8">
        <f>-AD92</f>
        <v>-4550.1008576032127</v>
      </c>
      <c r="O12" s="8">
        <f>-AD120</f>
        <v>-4563.1066024763832</v>
      </c>
      <c r="AH12" t="s">
        <v>131</v>
      </c>
    </row>
    <row r="13" spans="1:34" x14ac:dyDescent="0.25">
      <c r="C13" s="81"/>
      <c r="D13" s="81"/>
      <c r="E13" s="81"/>
      <c r="J13" t="s">
        <v>302</v>
      </c>
      <c r="M13" s="8">
        <f>AD65</f>
        <v>2766.2579771920268</v>
      </c>
      <c r="N13" s="8">
        <f>AD93</f>
        <v>2766.2579771920268</v>
      </c>
      <c r="O13" s="8">
        <f>AD121</f>
        <v>2766.2579771920268</v>
      </c>
      <c r="S13" s="42"/>
      <c r="AH13" t="s">
        <v>130</v>
      </c>
    </row>
    <row r="14" spans="1:34" x14ac:dyDescent="0.25">
      <c r="A14" t="s">
        <v>280</v>
      </c>
      <c r="C14" s="41">
        <v>4.7</v>
      </c>
      <c r="D14" s="41">
        <v>4.7</v>
      </c>
      <c r="E14" s="41">
        <v>3.5</v>
      </c>
      <c r="J14" t="s">
        <v>95</v>
      </c>
      <c r="M14" s="8">
        <f>AD66</f>
        <v>440.98213136326524</v>
      </c>
      <c r="N14" s="8">
        <f>AD94</f>
        <v>440.98213136326524</v>
      </c>
      <c r="O14" s="8">
        <f>AD122</f>
        <v>440.98213136326524</v>
      </c>
      <c r="P14" s="8"/>
      <c r="S14" s="42"/>
      <c r="T14" s="42"/>
    </row>
    <row r="15" spans="1:34" x14ac:dyDescent="0.25">
      <c r="A15" t="s">
        <v>120</v>
      </c>
      <c r="B15" s="13" t="s">
        <v>73</v>
      </c>
      <c r="C15" s="80">
        <f>Investering!I28</f>
        <v>19501.042146666667</v>
      </c>
      <c r="D15" s="80">
        <f>Investering!I46</f>
        <v>21921.428885714289</v>
      </c>
      <c r="E15" s="80">
        <f>Investering!I63</f>
        <v>17994.099999999999</v>
      </c>
      <c r="J15" s="3" t="s">
        <v>41</v>
      </c>
      <c r="K15" s="3"/>
      <c r="L15" s="14">
        <f>SUM(L4:L13)</f>
        <v>29531.72531915209</v>
      </c>
      <c r="M15" s="14">
        <f>SUM(M4:M14)</f>
        <v>30425.761977060989</v>
      </c>
      <c r="N15" s="14">
        <f>SUM(N4:N14)</f>
        <v>33349.057527679077</v>
      </c>
      <c r="O15" s="14">
        <f>SUM(O4:O14)</f>
        <v>30653.52505590599</v>
      </c>
      <c r="P15" s="42"/>
      <c r="Q15" s="8"/>
      <c r="S15" s="8"/>
    </row>
    <row r="16" spans="1:34" x14ac:dyDescent="0.25">
      <c r="A16" t="s">
        <v>224</v>
      </c>
      <c r="B16" t="s">
        <v>72</v>
      </c>
      <c r="C16" s="19">
        <f>Kengetallen!B18</f>
        <v>0.4</v>
      </c>
      <c r="D16" s="19">
        <f>C16</f>
        <v>0.4</v>
      </c>
      <c r="E16" s="19">
        <f>D16</f>
        <v>0.4</v>
      </c>
      <c r="J16" t="s">
        <v>211</v>
      </c>
      <c r="L16" s="8">
        <f>L15/$C$6</f>
        <v>1968.7816879434727</v>
      </c>
      <c r="M16" s="8">
        <f>M15/$C$6</f>
        <v>2028.3841318040659</v>
      </c>
      <c r="N16" s="8">
        <f>N15/$C$6</f>
        <v>2223.2705018452716</v>
      </c>
      <c r="O16" s="8">
        <f>O15/$C$6</f>
        <v>2043.5683370603992</v>
      </c>
      <c r="P16" s="8"/>
      <c r="Q16" s="30"/>
      <c r="R16" s="8"/>
      <c r="S16" s="8"/>
      <c r="T16" s="42"/>
    </row>
    <row r="17" spans="1:28" x14ac:dyDescent="0.25">
      <c r="A17" t="s">
        <v>20</v>
      </c>
      <c r="C17" s="37">
        <f>Financiering!$D$6*(1-$C$9)</f>
        <v>2.8410099999999997E-2</v>
      </c>
      <c r="D17" s="37">
        <f>Financiering!$D$6*(1-$C$9)</f>
        <v>2.8410099999999997E-2</v>
      </c>
      <c r="E17" s="37">
        <f>Financiering!$D$6*(1-$C$9)</f>
        <v>2.8410099999999997E-2</v>
      </c>
      <c r="J17" t="s">
        <v>101</v>
      </c>
      <c r="L17" s="8">
        <f>(L15-L6)/15</f>
        <v>1839.9517835999113</v>
      </c>
      <c r="M17" s="8">
        <f>(M15-M6-M9-M13)/15</f>
        <v>273.7685618528331</v>
      </c>
      <c r="N17" s="8">
        <f>(N15-N6-N9-N13)/15</f>
        <v>273.76856185283361</v>
      </c>
      <c r="O17" s="8">
        <f>(O15-O6-O9-O13)/15</f>
        <v>410.28977498813339</v>
      </c>
      <c r="P17" s="42"/>
      <c r="T17" s="42"/>
    </row>
    <row r="18" spans="1:28" x14ac:dyDescent="0.25">
      <c r="A18" t="s">
        <v>212</v>
      </c>
      <c r="B18" s="18"/>
      <c r="C18" s="19">
        <v>0.1</v>
      </c>
      <c r="D18" s="69"/>
      <c r="E18" s="69"/>
      <c r="H18" s="3"/>
      <c r="P18" s="8"/>
      <c r="T18" s="42"/>
    </row>
    <row r="19" spans="1:28" x14ac:dyDescent="0.25">
      <c r="A19" t="s">
        <v>53</v>
      </c>
      <c r="B19" t="s">
        <v>74</v>
      </c>
      <c r="C19" s="40">
        <f>J46</f>
        <v>1647.7446808510638</v>
      </c>
      <c r="D19" s="40">
        <f>J74</f>
        <v>1647.7446808510638</v>
      </c>
      <c r="E19" s="40">
        <f>D19</f>
        <v>1647.7446808510638</v>
      </c>
      <c r="H19" s="3"/>
      <c r="J19" t="s">
        <v>209</v>
      </c>
      <c r="L19">
        <v>0</v>
      </c>
      <c r="M19" s="42">
        <f>Investering!I28-Investering!J28</f>
        <v>3779.0629666666682</v>
      </c>
      <c r="N19" s="42">
        <f>Investering!I46-Investering!J46</f>
        <v>4279.8168571428614</v>
      </c>
      <c r="O19" s="42">
        <f>Investering!I67-Investering!J67</f>
        <v>3244.7499999999964</v>
      </c>
      <c r="P19" s="8"/>
      <c r="T19" s="42"/>
    </row>
    <row r="20" spans="1:28" x14ac:dyDescent="0.25">
      <c r="A20" t="s">
        <v>71</v>
      </c>
      <c r="B20" s="13" t="s">
        <v>75</v>
      </c>
      <c r="C20" s="54">
        <f>VLOOKUP(C19,Kengetallen!$B$12:$C$14,2,TRUE)</f>
        <v>1.39</v>
      </c>
      <c r="D20" s="54">
        <f>VLOOKUP(D19,Kengetallen!$B$12:$C$14,2,TRUE)</f>
        <v>1.39</v>
      </c>
      <c r="E20" s="54">
        <f>VLOOKUP(E19,Kengetallen!$B$12:$C$14,2,TRUE)</f>
        <v>1.39</v>
      </c>
      <c r="H20" s="42"/>
      <c r="J20" s="3" t="s">
        <v>213</v>
      </c>
      <c r="K20" s="3"/>
      <c r="L20" s="14">
        <f>L15-L19</f>
        <v>29531.72531915209</v>
      </c>
      <c r="M20" s="14">
        <f t="shared" ref="M20:O20" si="3">M15-M19</f>
        <v>26646.699010394321</v>
      </c>
      <c r="N20" s="14">
        <f t="shared" si="3"/>
        <v>29069.240670536215</v>
      </c>
      <c r="O20" s="14">
        <f t="shared" si="3"/>
        <v>27408.775055905993</v>
      </c>
      <c r="P20" s="42"/>
      <c r="Q20" s="8"/>
    </row>
    <row r="21" spans="1:28" x14ac:dyDescent="0.25">
      <c r="A21" t="s">
        <v>245</v>
      </c>
      <c r="B21" s="18"/>
      <c r="C21" s="12">
        <v>0.1</v>
      </c>
      <c r="D21" s="12">
        <v>0.1</v>
      </c>
      <c r="E21" s="12">
        <v>0.1</v>
      </c>
      <c r="H21" s="42"/>
      <c r="J21" s="3"/>
      <c r="K21" s="3"/>
      <c r="L21" s="14"/>
      <c r="M21" s="14"/>
      <c r="N21" s="14"/>
      <c r="O21" s="14"/>
      <c r="P21" s="42"/>
    </row>
    <row r="22" spans="1:28" x14ac:dyDescent="0.25">
      <c r="A22" t="s">
        <v>298</v>
      </c>
      <c r="B22" s="18"/>
      <c r="C22" s="68">
        <v>15</v>
      </c>
      <c r="H22" s="42"/>
      <c r="J22" s="3" t="s">
        <v>210</v>
      </c>
      <c r="K22" s="3"/>
      <c r="L22" s="14">
        <f>Kengetallen!B6*(1+Kengetallen!B2)^16</f>
        <v>2196.4571281449794</v>
      </c>
      <c r="M22" s="14">
        <f>(Investering!D24+Investering!D30)*(1+Kengetallen!B2)^16</f>
        <v>12190.281197588898</v>
      </c>
      <c r="N22" s="14">
        <f>(Investering!D42+Investering!D48)*(1+Kengetallen!B2)^16</f>
        <v>13836.036828865408</v>
      </c>
      <c r="O22" s="14">
        <f>(Investering!D58+Investering!D65)*(1+Kengetallen!B2)^16</f>
        <v>11945.109632816806</v>
      </c>
      <c r="P22" s="42"/>
    </row>
    <row r="23" spans="1:28" x14ac:dyDescent="0.25">
      <c r="A23" t="s">
        <v>246</v>
      </c>
      <c r="B23" s="18"/>
      <c r="C23" s="40">
        <f>Kengetallen!B55</f>
        <v>260</v>
      </c>
      <c r="D23" s="18"/>
      <c r="E23" s="18"/>
      <c r="H23" s="42"/>
      <c r="P23" s="42"/>
    </row>
    <row r="24" spans="1:28" x14ac:dyDescent="0.25">
      <c r="A24" t="s">
        <v>249</v>
      </c>
      <c r="B24" s="18"/>
      <c r="C24" s="70">
        <f>C23/Investering!C20</f>
        <v>3.0444285841734318</v>
      </c>
      <c r="D24" s="18"/>
      <c r="E24" s="18"/>
      <c r="H24" s="42"/>
      <c r="M24" s="72" t="s">
        <v>277</v>
      </c>
      <c r="N24" s="72" t="s">
        <v>278</v>
      </c>
      <c r="O24" s="14"/>
      <c r="P24" s="42"/>
      <c r="Q24" s="30"/>
    </row>
    <row r="25" spans="1:28" x14ac:dyDescent="0.25">
      <c r="A25" t="s">
        <v>299</v>
      </c>
      <c r="B25" s="18"/>
      <c r="C25" s="40">
        <f>Kengetallen!B38</f>
        <v>5.5</v>
      </c>
      <c r="D25" s="18"/>
      <c r="E25" s="18"/>
      <c r="H25" s="42"/>
      <c r="J25" t="s">
        <v>262</v>
      </c>
      <c r="L25" s="8"/>
      <c r="M25" s="8">
        <f>Investering!B40-(Investering!B22+Investering!B23)</f>
        <v>1001.5077809523818</v>
      </c>
      <c r="N25" s="8">
        <f>-15*PMT(C17,15,M25,0,1)</f>
        <v>1209.6014214321342</v>
      </c>
      <c r="O25" s="14"/>
      <c r="P25" s="42"/>
      <c r="Q25" s="8"/>
    </row>
    <row r="26" spans="1:28" x14ac:dyDescent="0.25">
      <c r="A26" t="s">
        <v>276</v>
      </c>
      <c r="B26" s="18"/>
      <c r="C26" s="18"/>
      <c r="D26" s="12" t="s">
        <v>130</v>
      </c>
      <c r="E26" s="18"/>
      <c r="H26" s="42"/>
      <c r="J26" t="s">
        <v>263</v>
      </c>
      <c r="L26" s="8"/>
      <c r="M26" s="8">
        <f>Investering!B42-Investering!B24</f>
        <v>1198.8438000000006</v>
      </c>
      <c r="N26" s="8">
        <f>-15*PMT(C17,15,M26,0,1)</f>
        <v>1447.9399882206706</v>
      </c>
      <c r="O26" s="14"/>
      <c r="P26" s="42"/>
    </row>
    <row r="27" spans="1:28" x14ac:dyDescent="0.25">
      <c r="A27" t="s">
        <v>208</v>
      </c>
      <c r="B27" s="18"/>
      <c r="C27" s="70"/>
      <c r="D27" s="18"/>
      <c r="E27" s="12" t="s">
        <v>131</v>
      </c>
      <c r="H27" s="42"/>
      <c r="J27" t="s">
        <v>279</v>
      </c>
      <c r="L27" s="8"/>
      <c r="M27" s="8">
        <f>Investering!B43-Investering!B25</f>
        <v>220.03515809523833</v>
      </c>
      <c r="N27" s="8">
        <f>-15*PMT(C17,15,M27,0,1)</f>
        <v>265.75414096528061</v>
      </c>
      <c r="O27" s="14"/>
    </row>
    <row r="28" spans="1:28" x14ac:dyDescent="0.25">
      <c r="B28" s="18"/>
      <c r="H28" s="42"/>
      <c r="J28" s="3" t="s">
        <v>264</v>
      </c>
      <c r="K28" s="3"/>
      <c r="L28" s="14"/>
      <c r="M28" s="14">
        <f>SUM(M25:M26)</f>
        <v>2200.3515809523824</v>
      </c>
      <c r="N28" s="14">
        <f>SUM(N25:N27)</f>
        <v>2923.2955506180851</v>
      </c>
      <c r="P28" s="42"/>
    </row>
    <row r="29" spans="1:28" x14ac:dyDescent="0.25">
      <c r="B29" s="18"/>
      <c r="H29" s="42"/>
      <c r="J29" s="3"/>
      <c r="K29" s="3"/>
      <c r="L29" s="14"/>
      <c r="M29" s="14"/>
      <c r="N29" s="14"/>
      <c r="P29" s="42"/>
    </row>
    <row r="30" spans="1:28" x14ac:dyDescent="0.25">
      <c r="A30" s="22" t="s">
        <v>83</v>
      </c>
      <c r="G30" s="2"/>
      <c r="H30" s="42"/>
      <c r="I30" s="42"/>
      <c r="J30" s="42"/>
      <c r="M30" s="2"/>
      <c r="N30" s="8"/>
    </row>
    <row r="31" spans="1:28" x14ac:dyDescent="0.25">
      <c r="A31" t="s">
        <v>16</v>
      </c>
      <c r="B31">
        <v>3</v>
      </c>
      <c r="C31">
        <v>4</v>
      </c>
      <c r="D31">
        <v>5</v>
      </c>
      <c r="E31">
        <v>6</v>
      </c>
      <c r="F31">
        <v>7</v>
      </c>
      <c r="G31">
        <v>8</v>
      </c>
      <c r="H31">
        <v>9</v>
      </c>
      <c r="I31">
        <v>10</v>
      </c>
      <c r="J31">
        <v>11</v>
      </c>
      <c r="K31">
        <v>12</v>
      </c>
      <c r="L31">
        <v>13</v>
      </c>
      <c r="M31">
        <v>14</v>
      </c>
      <c r="N31">
        <v>15</v>
      </c>
      <c r="O31">
        <v>16</v>
      </c>
      <c r="P31">
        <v>17</v>
      </c>
      <c r="Q31">
        <v>18</v>
      </c>
      <c r="R31">
        <v>19</v>
      </c>
      <c r="S31">
        <v>9</v>
      </c>
      <c r="T31">
        <v>9</v>
      </c>
      <c r="U31">
        <v>9</v>
      </c>
      <c r="V31">
        <v>9</v>
      </c>
      <c r="W31">
        <v>9</v>
      </c>
      <c r="X31">
        <v>9</v>
      </c>
      <c r="Y31">
        <v>9</v>
      </c>
      <c r="Z31">
        <v>9</v>
      </c>
      <c r="AA31">
        <v>9</v>
      </c>
      <c r="AB31">
        <v>9</v>
      </c>
    </row>
    <row r="32" spans="1:28" x14ac:dyDescent="0.25">
      <c r="A32" t="s">
        <v>15</v>
      </c>
      <c r="B32">
        <f t="shared" ref="B32:AB32" si="4">B34-$C$5+1</f>
        <v>0</v>
      </c>
      <c r="C32">
        <f t="shared" si="4"/>
        <v>1</v>
      </c>
      <c r="D32">
        <f t="shared" si="4"/>
        <v>2</v>
      </c>
      <c r="E32">
        <f t="shared" si="4"/>
        <v>3</v>
      </c>
      <c r="F32">
        <f t="shared" si="4"/>
        <v>4</v>
      </c>
      <c r="G32">
        <f t="shared" si="4"/>
        <v>5</v>
      </c>
      <c r="H32">
        <f t="shared" si="4"/>
        <v>6</v>
      </c>
      <c r="I32">
        <f t="shared" si="4"/>
        <v>7</v>
      </c>
      <c r="J32">
        <f t="shared" si="4"/>
        <v>8</v>
      </c>
      <c r="K32">
        <f t="shared" si="4"/>
        <v>9</v>
      </c>
      <c r="L32">
        <f t="shared" si="4"/>
        <v>10</v>
      </c>
      <c r="M32">
        <f t="shared" si="4"/>
        <v>11</v>
      </c>
      <c r="N32">
        <f t="shared" si="4"/>
        <v>12</v>
      </c>
      <c r="O32">
        <f t="shared" si="4"/>
        <v>13</v>
      </c>
      <c r="P32">
        <f t="shared" si="4"/>
        <v>14</v>
      </c>
      <c r="Q32">
        <f t="shared" si="4"/>
        <v>15</v>
      </c>
      <c r="R32">
        <f t="shared" si="4"/>
        <v>16</v>
      </c>
      <c r="S32">
        <f t="shared" si="4"/>
        <v>17</v>
      </c>
      <c r="T32">
        <f t="shared" si="4"/>
        <v>18</v>
      </c>
      <c r="U32">
        <f t="shared" si="4"/>
        <v>19</v>
      </c>
      <c r="V32">
        <f t="shared" si="4"/>
        <v>20</v>
      </c>
      <c r="W32">
        <f t="shared" si="4"/>
        <v>21</v>
      </c>
      <c r="X32">
        <f t="shared" si="4"/>
        <v>22</v>
      </c>
      <c r="Y32">
        <f t="shared" si="4"/>
        <v>23</v>
      </c>
      <c r="Z32">
        <f t="shared" si="4"/>
        <v>24</v>
      </c>
      <c r="AA32">
        <f t="shared" si="4"/>
        <v>25</v>
      </c>
      <c r="AB32">
        <f t="shared" si="4"/>
        <v>26</v>
      </c>
    </row>
    <row r="33" spans="1:30" x14ac:dyDescent="0.25">
      <c r="A33" t="s">
        <v>23</v>
      </c>
      <c r="B33" t="str">
        <f t="shared" ref="B33:AB33" si="5">IF(AND(B32&gt;0,B32&lt;($C$6+1)),"JA","NEE")</f>
        <v>NEE</v>
      </c>
      <c r="C33" t="str">
        <f t="shared" si="5"/>
        <v>JA</v>
      </c>
      <c r="D33" t="str">
        <f t="shared" si="5"/>
        <v>JA</v>
      </c>
      <c r="E33" t="str">
        <f t="shared" si="5"/>
        <v>JA</v>
      </c>
      <c r="F33" t="str">
        <f t="shared" si="5"/>
        <v>JA</v>
      </c>
      <c r="G33" t="str">
        <f t="shared" si="5"/>
        <v>JA</v>
      </c>
      <c r="H33" t="str">
        <f t="shared" si="5"/>
        <v>JA</v>
      </c>
      <c r="I33" t="str">
        <f t="shared" si="5"/>
        <v>JA</v>
      </c>
      <c r="J33" t="str">
        <f t="shared" si="5"/>
        <v>JA</v>
      </c>
      <c r="K33" t="str">
        <f t="shared" si="5"/>
        <v>JA</v>
      </c>
      <c r="L33" t="str">
        <f t="shared" si="5"/>
        <v>JA</v>
      </c>
      <c r="M33" t="str">
        <f t="shared" si="5"/>
        <v>JA</v>
      </c>
      <c r="N33" t="str">
        <f t="shared" si="5"/>
        <v>JA</v>
      </c>
      <c r="O33" t="str">
        <f t="shared" si="5"/>
        <v>JA</v>
      </c>
      <c r="P33" t="str">
        <f t="shared" si="5"/>
        <v>JA</v>
      </c>
      <c r="Q33" t="str">
        <f t="shared" si="5"/>
        <v>JA</v>
      </c>
      <c r="R33" t="str">
        <f t="shared" si="5"/>
        <v>NEE</v>
      </c>
      <c r="S33" t="str">
        <f t="shared" si="5"/>
        <v>NEE</v>
      </c>
      <c r="T33" t="str">
        <f t="shared" si="5"/>
        <v>NEE</v>
      </c>
      <c r="U33" t="str">
        <f t="shared" si="5"/>
        <v>NEE</v>
      </c>
      <c r="V33" t="str">
        <f t="shared" si="5"/>
        <v>NEE</v>
      </c>
      <c r="W33" t="str">
        <f t="shared" si="5"/>
        <v>NEE</v>
      </c>
      <c r="X33" t="str">
        <f t="shared" si="5"/>
        <v>NEE</v>
      </c>
      <c r="Y33" t="str">
        <f t="shared" si="5"/>
        <v>NEE</v>
      </c>
      <c r="Z33" t="str">
        <f t="shared" si="5"/>
        <v>NEE</v>
      </c>
      <c r="AA33" t="str">
        <f t="shared" si="5"/>
        <v>NEE</v>
      </c>
      <c r="AB33" t="str">
        <f t="shared" si="5"/>
        <v>NEE</v>
      </c>
    </row>
    <row r="34" spans="1:30" x14ac:dyDescent="0.25">
      <c r="B34" s="3">
        <v>2024</v>
      </c>
      <c r="C34" s="3">
        <v>2025</v>
      </c>
      <c r="D34" s="3">
        <v>2026</v>
      </c>
      <c r="E34" s="3">
        <v>2027</v>
      </c>
      <c r="F34" s="3">
        <v>2028</v>
      </c>
      <c r="G34" s="3">
        <v>2029</v>
      </c>
      <c r="H34" s="3">
        <v>2030</v>
      </c>
      <c r="I34" s="3">
        <v>2031</v>
      </c>
      <c r="J34" s="3">
        <v>2032</v>
      </c>
      <c r="K34" s="3">
        <v>2033</v>
      </c>
      <c r="L34" s="3">
        <v>2034</v>
      </c>
      <c r="M34" s="3">
        <v>2035</v>
      </c>
      <c r="N34" s="3">
        <v>2036</v>
      </c>
      <c r="O34" s="3">
        <v>2037</v>
      </c>
      <c r="P34" s="3">
        <v>2038</v>
      </c>
      <c r="Q34" s="3">
        <v>2039</v>
      </c>
      <c r="R34" s="3">
        <v>2040</v>
      </c>
      <c r="S34" s="3">
        <v>2041</v>
      </c>
      <c r="T34" s="3">
        <v>2042</v>
      </c>
      <c r="U34" s="3">
        <v>2043</v>
      </c>
      <c r="V34" s="3">
        <v>2044</v>
      </c>
      <c r="W34" s="3">
        <v>2045</v>
      </c>
      <c r="X34" s="3">
        <v>2046</v>
      </c>
      <c r="Y34" s="3">
        <v>2047</v>
      </c>
      <c r="Z34" s="3">
        <v>2048</v>
      </c>
      <c r="AA34" s="3">
        <v>2049</v>
      </c>
      <c r="AB34" s="3">
        <v>2050</v>
      </c>
      <c r="AC34" s="3"/>
      <c r="AD34" s="3" t="s">
        <v>64</v>
      </c>
    </row>
    <row r="35" spans="1:30" x14ac:dyDescent="0.25">
      <c r="A35" t="s">
        <v>18</v>
      </c>
      <c r="B35" s="10" t="str">
        <f t="shared" ref="B35:AB35" si="6">IF(B33="JA",$C$1,"")</f>
        <v/>
      </c>
      <c r="C35" s="10">
        <f t="shared" si="6"/>
        <v>1000</v>
      </c>
      <c r="D35" s="10">
        <f t="shared" si="6"/>
        <v>1000</v>
      </c>
      <c r="E35" s="10">
        <f t="shared" si="6"/>
        <v>1000</v>
      </c>
      <c r="F35" s="10">
        <f t="shared" si="6"/>
        <v>1000</v>
      </c>
      <c r="G35" s="10">
        <f t="shared" si="6"/>
        <v>1000</v>
      </c>
      <c r="H35" s="10">
        <f t="shared" si="6"/>
        <v>1000</v>
      </c>
      <c r="I35" s="10">
        <f t="shared" si="6"/>
        <v>1000</v>
      </c>
      <c r="J35" s="10">
        <f t="shared" si="6"/>
        <v>1000</v>
      </c>
      <c r="K35" s="10">
        <f t="shared" si="6"/>
        <v>1000</v>
      </c>
      <c r="L35" s="10">
        <f t="shared" si="6"/>
        <v>1000</v>
      </c>
      <c r="M35" s="10">
        <f t="shared" si="6"/>
        <v>1000</v>
      </c>
      <c r="N35" s="10">
        <f t="shared" si="6"/>
        <v>1000</v>
      </c>
      <c r="O35" s="10">
        <f t="shared" si="6"/>
        <v>1000</v>
      </c>
      <c r="P35" s="10">
        <f t="shared" si="6"/>
        <v>1000</v>
      </c>
      <c r="Q35">
        <f t="shared" si="6"/>
        <v>1000</v>
      </c>
      <c r="R35" t="str">
        <f t="shared" si="6"/>
        <v/>
      </c>
      <c r="S35" t="str">
        <f t="shared" si="6"/>
        <v/>
      </c>
      <c r="T35" t="str">
        <f t="shared" si="6"/>
        <v/>
      </c>
      <c r="U35" t="str">
        <f t="shared" si="6"/>
        <v/>
      </c>
      <c r="V35" t="str">
        <f t="shared" si="6"/>
        <v/>
      </c>
      <c r="W35" t="str">
        <f t="shared" si="6"/>
        <v/>
      </c>
      <c r="X35" t="str">
        <f t="shared" si="6"/>
        <v/>
      </c>
      <c r="Y35" t="str">
        <f t="shared" si="6"/>
        <v/>
      </c>
      <c r="Z35" t="str">
        <f t="shared" si="6"/>
        <v/>
      </c>
      <c r="AA35" t="str">
        <f t="shared" si="6"/>
        <v/>
      </c>
      <c r="AB35" t="str">
        <f t="shared" si="6"/>
        <v/>
      </c>
      <c r="AD35">
        <f>SUM(B35:AB35)</f>
        <v>15000</v>
      </c>
    </row>
    <row r="36" spans="1:30" x14ac:dyDescent="0.25">
      <c r="A36" s="13" t="s">
        <v>27</v>
      </c>
    </row>
    <row r="37" spans="1:30" x14ac:dyDescent="0.25">
      <c r="A37" t="s">
        <v>17</v>
      </c>
      <c r="B37" s="8" t="str">
        <f>IFERROR(B36*Prijzen!$B$83+(B35-B36)*B48,"")</f>
        <v/>
      </c>
      <c r="C37" s="8">
        <f>IFERROR(C36*Prijzen!$B$83+(C35-C36)*C48,"")</f>
        <v>1251.4967446419548</v>
      </c>
      <c r="D37" s="8">
        <f>IFERROR(D36*Prijzen!$B$83+(D35-D36)*D48,"")</f>
        <v>1228.7304397192577</v>
      </c>
      <c r="E37" s="8">
        <f>IFERROR(E36*Prijzen!$B$83+(E35-E36)*E48,"")</f>
        <v>1212.8648759239511</v>
      </c>
      <c r="F37" s="8">
        <f>IFERROR(F36*Prijzen!$B$83+(F35-F36)*F48,"")</f>
        <v>1222.3627817341421</v>
      </c>
      <c r="G37" s="8">
        <f>IFERROR(G36*Prijzen!$B$83+(G35-G36)*G48,"")</f>
        <v>1267.1352026773272</v>
      </c>
      <c r="H37" s="8">
        <f>IFERROR(H36*Prijzen!$B$83+(H35-H36)*H48,"")</f>
        <v>1299.1424041980122</v>
      </c>
      <c r="I37" s="8">
        <f>IFERROR(I36*Prijzen!$B$83+(I35-I36)*I48,"")</f>
        <v>1316.2505241946255</v>
      </c>
      <c r="J37" s="8">
        <f>IFERROR(J36*Prijzen!$B$83+(J35-J36)*J48,"")</f>
        <v>1333.7008065911714</v>
      </c>
      <c r="K37" s="8">
        <f>IFERROR(K36*Prijzen!$B$83+(K35-K36)*K48,"")</f>
        <v>1351.5000946356479</v>
      </c>
      <c r="L37" s="8">
        <f>IFERROR(L36*Prijzen!$B$83+(L35-L36)*L48,"")</f>
        <v>1369.6553684410139</v>
      </c>
      <c r="M37" s="8">
        <f>IFERROR(M36*Prijzen!$B$83+(M35-M36)*M48,"")</f>
        <v>1388.1737477224874</v>
      </c>
      <c r="N37" s="8">
        <f>IFERROR(N36*Prijzen!$B$83+(N35-N36)*N48,"")</f>
        <v>1407.0624945895902</v>
      </c>
      <c r="O37" s="8">
        <f>IFERROR(O36*Prijzen!$B$83+(O35-O36)*O48,"")</f>
        <v>1426.3290163940353</v>
      </c>
      <c r="P37" s="8">
        <f>IFERROR(P36*Prijzen!$B$83+(P35-P36)*P48,"")</f>
        <v>1445.9808686345689</v>
      </c>
      <c r="Q37" s="8">
        <f>IFERROR(Q36*Prijzen!$B$83+(Q35-Q36)*Q48,"")</f>
        <v>1466.0257579199133</v>
      </c>
      <c r="R37" s="8" t="str">
        <f>IFERROR(R36*Prijzen!$B$83+(R35-R36)*R48,"")</f>
        <v/>
      </c>
      <c r="S37" s="8" t="str">
        <f>IFERROR(S36*Prijzen!$B$83+(S35-S36)*S48,"")</f>
        <v/>
      </c>
      <c r="T37" s="8" t="str">
        <f>IFERROR(T36*Prijzen!$B$83+(T35-T36)*T48,"")</f>
        <v/>
      </c>
      <c r="U37" s="8" t="str">
        <f>IFERROR(U36*Prijzen!$B$83+(U35-U36)*U48,"")</f>
        <v/>
      </c>
      <c r="V37" s="8" t="str">
        <f>IFERROR(V36*Prijzen!$B$83+(V35-V36)*V48,"")</f>
        <v/>
      </c>
      <c r="W37" s="8" t="str">
        <f>IFERROR(W36*Prijzen!$B$83+(W35-W36)*W48,"")</f>
        <v/>
      </c>
      <c r="X37" s="8" t="str">
        <f>IFERROR(X36*Prijzen!$B$83+(X35-X36)*X48,"")</f>
        <v/>
      </c>
      <c r="Y37" s="8" t="str">
        <f>IFERROR(Y36*Prijzen!$B$83+(Y35-Y36)*Y48,"")</f>
        <v/>
      </c>
      <c r="Z37" s="8" t="str">
        <f>IFERROR(Z36*Prijzen!$B$83+(Z35-Z36)*Z48,"")</f>
        <v/>
      </c>
      <c r="AA37" s="8" t="str">
        <f>IFERROR(AA36*Prijzen!$B$83+(AA35-AA36)*AA48,"")</f>
        <v/>
      </c>
      <c r="AB37" s="8" t="str">
        <f>IFERROR(AB36*Prijzen!$B$83+(AB35-AB36)*AB48,"")</f>
        <v/>
      </c>
      <c r="AC37" s="8"/>
      <c r="AD37" s="8">
        <f>SUM(B37:AB37)</f>
        <v>19986.411128017699</v>
      </c>
    </row>
    <row r="38" spans="1:30" x14ac:dyDescent="0.25">
      <c r="A38" t="s">
        <v>32</v>
      </c>
      <c r="B38" s="8">
        <f>IF(B33="JA",-PMT($C$17,Kengetallen!$B$7,Kengetallen!$B$6*Investering!$M$2,0,1),0)</f>
        <v>0</v>
      </c>
      <c r="C38" s="8">
        <f>IF(C33="JA",-PMT($C$17,Kengetallen!$B$7,Kengetallen!$B$6*Investering!$M$2,0,1),0)</f>
        <v>128.82990434356122</v>
      </c>
      <c r="D38" s="8">
        <f>IF(D33="JA",-PMT($C$17,Kengetallen!$B$7,Kengetallen!$B$6*Investering!$M$2,0,1),0)</f>
        <v>128.82990434356122</v>
      </c>
      <c r="E38" s="8">
        <f>IF(E33="JA",-PMT($C$17,Kengetallen!$B$7,Kengetallen!$B$6*Investering!$M$2,0,1),0)</f>
        <v>128.82990434356122</v>
      </c>
      <c r="F38" s="8">
        <f>IF(F33="JA",-PMT($C$17,Kengetallen!$B$7,Kengetallen!$B$6*Investering!$M$2,0,1),0)</f>
        <v>128.82990434356122</v>
      </c>
      <c r="G38" s="8">
        <f>IF(G33="JA",-PMT($C$17,Kengetallen!$B$7,Kengetallen!$B$6*Investering!$M$2,0,1),0)</f>
        <v>128.82990434356122</v>
      </c>
      <c r="H38" s="8">
        <f>IF(H33="JA",-PMT($C$17,Kengetallen!$B$7,Kengetallen!$B$6*Investering!$M$2,0,1),0)</f>
        <v>128.82990434356122</v>
      </c>
      <c r="I38" s="8">
        <f>IF(I33="JA",-PMT($C$17,Kengetallen!$B$7,Kengetallen!$B$6*Investering!$M$2,0,1),0)</f>
        <v>128.82990434356122</v>
      </c>
      <c r="J38" s="8">
        <f>IF(J33="JA",-PMT($C$17,Kengetallen!$B$7,Kengetallen!$B$6*Investering!$M$2,0,1),0)</f>
        <v>128.82990434356122</v>
      </c>
      <c r="K38" s="8">
        <f>IF(K33="JA",-PMT($C$17,Kengetallen!$B$7,Kengetallen!$B$6*Investering!$M$2,0,1),0)</f>
        <v>128.82990434356122</v>
      </c>
      <c r="L38" s="8">
        <f>IF(L33="JA",-PMT($C$17,Kengetallen!$B$7,Kengetallen!$B$6*Investering!$M$2,0,1),0)</f>
        <v>128.82990434356122</v>
      </c>
      <c r="M38" s="8">
        <f>IF(M33="JA",-PMT($C$17,Kengetallen!$B$7,Kengetallen!$B$6*Investering!$M$2,0,1),0)</f>
        <v>128.82990434356122</v>
      </c>
      <c r="N38" s="8">
        <f>IF(N33="JA",-PMT($C$17,Kengetallen!$B$7,Kengetallen!$B$6*Investering!$M$2,0,1),0)</f>
        <v>128.82990434356122</v>
      </c>
      <c r="O38" s="8">
        <f>IF(O33="JA",-PMT($C$17,Kengetallen!$B$7,Kengetallen!$B$6*Investering!$M$2,0,1),0)</f>
        <v>128.82990434356122</v>
      </c>
      <c r="P38" s="8">
        <f>IF(P33="JA",-PMT($C$17,Kengetallen!$B$7,Kengetallen!$B$6*Investering!$M$2,0,1),0)</f>
        <v>128.82990434356122</v>
      </c>
      <c r="Q38" s="8">
        <f>IF(Q33="JA",-PMT($C$17,Kengetallen!$B$7,Kengetallen!$B$6*Investering!$M$2,0,1),0)</f>
        <v>128.82990434356122</v>
      </c>
      <c r="R38" s="8">
        <f>IF(R33="JA",-PMT($C$17,Kengetallen!$B$7,Kengetallen!$B$6*Investering!$M$2,0,1),0)</f>
        <v>0</v>
      </c>
      <c r="S38" s="8">
        <f>IF(S33="JA",-PMT($C$17,Kengetallen!$B$7,Kengetallen!$B$6*Investering!$M$2,0,1),0)</f>
        <v>0</v>
      </c>
      <c r="T38" s="8">
        <f>IF(T33="JA",-PMT($C$17,Kengetallen!$B$7,Kengetallen!$B$6*Investering!$M$2,0,1),0)</f>
        <v>0</v>
      </c>
      <c r="U38" s="8">
        <f>IF(U33="JA",-PMT($C$17,Kengetallen!$B$7,Kengetallen!$B$6*Investering!$M$2,0,1),0)</f>
        <v>0</v>
      </c>
      <c r="V38" s="8">
        <f>IF(V33="JA",-PMT($C$17,Kengetallen!$B$7,Kengetallen!$B$6*Investering!$M$2,0,1),0)</f>
        <v>0</v>
      </c>
      <c r="W38" s="8">
        <f>IF(W33="JA",-PMT($C$17,Kengetallen!$B$7,Kengetallen!$B$6*Investering!$M$2,0,1),0)</f>
        <v>0</v>
      </c>
      <c r="X38" s="8">
        <f>IF(X33="JA",-PMT($C$17,Kengetallen!$B$7,Kengetallen!$B$6*Investering!$M$2,0,1),0)</f>
        <v>0</v>
      </c>
      <c r="Y38" s="8">
        <f>IF(Y33="JA",-PMT($C$17,Kengetallen!$B$7,Kengetallen!$B$6*Investering!$M$2,0,1),0)</f>
        <v>0</v>
      </c>
      <c r="Z38" s="8">
        <f>IF(Z33="JA",-PMT($C$17,Kengetallen!$B$7,Kengetallen!$B$6*Investering!$M$2,0,1),0)</f>
        <v>0</v>
      </c>
      <c r="AA38" s="8">
        <f>IF(AA33="JA",-PMT($C$17,Kengetallen!$B$7,Kengetallen!$B$6*Investering!$M$2,0,1),0)</f>
        <v>0</v>
      </c>
      <c r="AB38" s="8">
        <f>IF(AB33="JA",-PMT($C$17,Kengetallen!$B$7,Kengetallen!$B$6*Investering!$M$2,0,1),0)</f>
        <v>0</v>
      </c>
      <c r="AC38" s="8"/>
      <c r="AD38" s="8">
        <f>SUM(B38:AB38)</f>
        <v>1932.4485651534192</v>
      </c>
    </row>
    <row r="39" spans="1:30" x14ac:dyDescent="0.25">
      <c r="A39" t="s">
        <v>33</v>
      </c>
      <c r="B39" s="8">
        <f>IF(B33="JA",Kengetallen!$B$5*(1+Kengetallen!$B$2)^'Business case'!B$32,0)</f>
        <v>0</v>
      </c>
      <c r="C39" s="8">
        <f>IF(C33="JA",Kengetallen!$B$5*(1+Kengetallen!$B$2)^'Business case'!C$32,0)</f>
        <v>145.91439999999997</v>
      </c>
      <c r="D39" s="8">
        <f>IF(D33="JA",Kengetallen!$B$5*(1+Kengetallen!$B$2)^'Business case'!D$32,0)</f>
        <v>148.83268799999999</v>
      </c>
      <c r="E39" s="8">
        <f>IF(E33="JA",Kengetallen!$B$5*(1+Kengetallen!$B$2)^'Business case'!E$32,0)</f>
        <v>151.80934175999997</v>
      </c>
      <c r="F39" s="8">
        <f>IF(F33="JA",Kengetallen!$B$5*(1+Kengetallen!$B$2)^'Business case'!F$32,0)</f>
        <v>154.84552859519997</v>
      </c>
      <c r="G39" s="8">
        <f>IF(G33="JA",Kengetallen!$B$5*(1+Kengetallen!$B$2)^'Business case'!G$32,0)</f>
        <v>157.94243916710397</v>
      </c>
      <c r="H39" s="8">
        <f>IF(H33="JA",Kengetallen!$B$5*(1+Kengetallen!$B$2)^'Business case'!H$32,0)</f>
        <v>161.10128795044608</v>
      </c>
      <c r="I39" s="8">
        <f>IF(I33="JA",Kengetallen!$B$5*(1+Kengetallen!$B$2)^'Business case'!I$32,0)</f>
        <v>164.32331370945496</v>
      </c>
      <c r="J39" s="8">
        <f>IF(J33="JA",Kengetallen!$B$5*(1+Kengetallen!$B$2)^'Business case'!J$32,0)</f>
        <v>167.60977998364407</v>
      </c>
      <c r="K39" s="8">
        <f>IF(K33="JA",Kengetallen!$B$5*(1+Kengetallen!$B$2)^'Business case'!K$32,0)</f>
        <v>170.96197558331696</v>
      </c>
      <c r="L39" s="8">
        <f>IF(L33="JA",Kengetallen!$B$5*(1+Kengetallen!$B$2)^'Business case'!L$32,0)</f>
        <v>174.3812150949833</v>
      </c>
      <c r="M39" s="8">
        <f>IF(M33="JA",Kengetallen!$B$5*(1+Kengetallen!$B$2)^'Business case'!M$32,0)</f>
        <v>177.86883939688292</v>
      </c>
      <c r="N39" s="8">
        <f>IF(N33="JA",Kengetallen!$B$5*(1+Kengetallen!$B$2)^'Business case'!N$32,0)</f>
        <v>181.42621618482062</v>
      </c>
      <c r="O39" s="8">
        <f>IF(O33="JA",Kengetallen!$B$5*(1+Kengetallen!$B$2)^'Business case'!O$32,0)</f>
        <v>185.05474050851703</v>
      </c>
      <c r="P39" s="8">
        <f>IF(P33="JA",Kengetallen!$B$5*(1+Kengetallen!$B$2)^'Business case'!P$32,0)</f>
        <v>188.75583531868739</v>
      </c>
      <c r="Q39" s="8">
        <f>IF(Q33="JA",Kengetallen!$B$5*(1+Kengetallen!$B$2)^'Business case'!Q$32,0)</f>
        <v>192.53095202506108</v>
      </c>
      <c r="R39" s="8">
        <f>IF(R33="JA",Kengetallen!$B$5*(1+Kengetallen!$B$2)^'Business case'!R$32,0)</f>
        <v>0</v>
      </c>
      <c r="S39" s="8">
        <f>IF(S33="JA",Kengetallen!$B$5*(1+Kengetallen!$B$2)^'Business case'!S$32,0)</f>
        <v>0</v>
      </c>
      <c r="T39" s="8">
        <f>IF(T33="JA",Kengetallen!$B$5*(1+Kengetallen!$B$2)^'Business case'!T$32,0)</f>
        <v>0</v>
      </c>
      <c r="U39" s="8">
        <f>IF(U33="JA",Kengetallen!$B$5*(1+Kengetallen!$B$2)^'Business case'!U$32,0)</f>
        <v>0</v>
      </c>
      <c r="V39" s="8">
        <f>IF(V33="JA",Kengetallen!$B$5*(1+Kengetallen!$B$2)^'Business case'!V$32,0)</f>
        <v>0</v>
      </c>
      <c r="W39" s="8">
        <f>IF(W33="JA",Kengetallen!$B$5*(1+Kengetallen!$B$2)^'Business case'!W$32,0)</f>
        <v>0</v>
      </c>
      <c r="X39" s="8">
        <f>IF(X33="JA",Kengetallen!$B$5*(1+Kengetallen!$B$2)^'Business case'!X$32,0)</f>
        <v>0</v>
      </c>
      <c r="Y39" s="8">
        <f>IF(Y33="JA",Kengetallen!$B$5*(1+Kengetallen!$B$2)^'Business case'!Y$32,0)</f>
        <v>0</v>
      </c>
      <c r="Z39" s="8">
        <f>IF(Z33="JA",Kengetallen!$B$5*(1+Kengetallen!$B$2)^'Business case'!Z$32,0)</f>
        <v>0</v>
      </c>
      <c r="AA39" s="8">
        <f>IF(AA33="JA",Kengetallen!$B$5*(1+Kengetallen!$B$2)^'Business case'!AA$32,0)</f>
        <v>0</v>
      </c>
      <c r="AB39" s="8">
        <f>IF(AB33="JA",Kengetallen!$B$5*(1+Kengetallen!$B$2)^'Business case'!AB$32,0)</f>
        <v>0</v>
      </c>
      <c r="AC39" s="8"/>
      <c r="AD39" s="8">
        <f>SUM(B39:AB39)</f>
        <v>2523.3585532781181</v>
      </c>
    </row>
    <row r="40" spans="1:30" x14ac:dyDescent="0.25">
      <c r="A40" t="s">
        <v>70</v>
      </c>
      <c r="B40" s="8">
        <f>IF(B33="JA",Prijzen!D78,0)</f>
        <v>0</v>
      </c>
      <c r="C40" s="8">
        <f>IF(C33="JA",Prijzen!E78,0)</f>
        <v>294.30314999999996</v>
      </c>
      <c r="D40" s="8">
        <f>IF(D33="JA",Prijzen!F78,0)</f>
        <v>300.189213</v>
      </c>
      <c r="E40" s="8">
        <f>IF(E33="JA",Prijzen!G78,0)</f>
        <v>306.19299725999997</v>
      </c>
      <c r="F40" s="8">
        <f>IF(F33="JA",Prijzen!H78,0)</f>
        <v>312.31685720519999</v>
      </c>
      <c r="G40" s="8">
        <f>IF(G33="JA",Prijzen!I78,0)</f>
        <v>318.56319434930401</v>
      </c>
      <c r="H40" s="8">
        <f>IF(H33="JA",Prijzen!J78,0)</f>
        <v>324.93445823629008</v>
      </c>
      <c r="I40" s="8">
        <f>IF(I33="JA",Prijzen!K78,0)</f>
        <v>331.4331474010159</v>
      </c>
      <c r="J40" s="8">
        <f>IF(J33="JA",Prijzen!L78,0)</f>
        <v>338.06181034903625</v>
      </c>
      <c r="K40" s="8">
        <f>IF(K33="JA",Prijzen!M78,0)</f>
        <v>344.82304655601695</v>
      </c>
      <c r="L40" s="8">
        <f>IF(L33="JA",Prijzen!N78,0)</f>
        <v>351.71950748713732</v>
      </c>
      <c r="M40" s="8">
        <f>IF(M33="JA",Prijzen!O78,0)</f>
        <v>358.75389763688003</v>
      </c>
      <c r="N40" s="8">
        <f>IF(N33="JA",Prijzen!P78,0)</f>
        <v>365.92897558961766</v>
      </c>
      <c r="O40" s="8">
        <f>IF(O33="JA",Prijzen!Q78,0)</f>
        <v>373.24755510141006</v>
      </c>
      <c r="P40" s="8">
        <f>IF(P33="JA",Prijzen!R78,0)</f>
        <v>380.71250620343824</v>
      </c>
      <c r="Q40" s="8">
        <f>IF(Q33="JA",Prijzen!S78,0)</f>
        <v>388.32675632750704</v>
      </c>
      <c r="R40" s="8">
        <f>IF(R33="JA",Prijzen!$T$78,0)</f>
        <v>0</v>
      </c>
      <c r="S40" s="8">
        <f>IF(S33="JA",Prijzen!$T$78,0)</f>
        <v>0</v>
      </c>
      <c r="T40" s="8">
        <f>IF(T33="JA",Prijzen!$T$78,0)</f>
        <v>0</v>
      </c>
      <c r="U40" s="8">
        <f>IF(U33="JA",Prijzen!$T$78,0)</f>
        <v>0</v>
      </c>
      <c r="V40" s="8">
        <f>IF(V33="JA",Prijzen!$T$78,0)</f>
        <v>0</v>
      </c>
      <c r="W40" s="8">
        <f>IF(W33="JA",Prijzen!$T$78,0)</f>
        <v>0</v>
      </c>
      <c r="X40" s="8">
        <f>IF(X33="JA",Prijzen!$T$78,0)</f>
        <v>0</v>
      </c>
      <c r="Y40" s="8">
        <f>IF(Y33="JA",Prijzen!$T$78,0)</f>
        <v>0</v>
      </c>
      <c r="Z40" s="8">
        <f>IF(Z33="JA",Prijzen!$T$78,0)</f>
        <v>0</v>
      </c>
      <c r="AA40" s="8">
        <f>IF(AA33="JA",Prijzen!$T$78,0)</f>
        <v>0</v>
      </c>
      <c r="AB40" s="8">
        <f>IF(AB33="JA",Prijzen!$T$78,0)</f>
        <v>0</v>
      </c>
      <c r="AC40" s="8"/>
      <c r="AD40" s="8">
        <f>SUM(B40:AB40)</f>
        <v>5089.5070727028533</v>
      </c>
    </row>
    <row r="41" spans="1:30" x14ac:dyDescent="0.25">
      <c r="A41" s="3" t="s">
        <v>41</v>
      </c>
      <c r="B41" s="14">
        <f t="shared" ref="B41:R41" si="7">SUM(B37:B40)</f>
        <v>0</v>
      </c>
      <c r="C41" s="14">
        <f t="shared" si="7"/>
        <v>1820.5441989855158</v>
      </c>
      <c r="D41" s="14">
        <f t="shared" si="7"/>
        <v>1806.5822450628189</v>
      </c>
      <c r="E41" s="14">
        <f t="shared" si="7"/>
        <v>1799.6971192875121</v>
      </c>
      <c r="F41" s="14">
        <f t="shared" si="7"/>
        <v>1818.3550718781034</v>
      </c>
      <c r="G41" s="14">
        <f t="shared" si="7"/>
        <v>1872.4707405372963</v>
      </c>
      <c r="H41" s="14">
        <f t="shared" si="7"/>
        <v>1914.0080547283096</v>
      </c>
      <c r="I41" s="14">
        <f t="shared" si="7"/>
        <v>1940.8368896486577</v>
      </c>
      <c r="J41" s="14">
        <f t="shared" si="7"/>
        <v>1968.2023012674131</v>
      </c>
      <c r="K41" s="14">
        <f t="shared" si="7"/>
        <v>1996.1150211185427</v>
      </c>
      <c r="L41" s="14">
        <f t="shared" si="7"/>
        <v>2024.5859953666959</v>
      </c>
      <c r="M41" s="14">
        <f t="shared" si="7"/>
        <v>2053.6263890998116</v>
      </c>
      <c r="N41" s="14">
        <f t="shared" si="7"/>
        <v>2083.2475907075896</v>
      </c>
      <c r="O41" s="14">
        <f t="shared" si="7"/>
        <v>2113.4612163475235</v>
      </c>
      <c r="P41" s="14">
        <f t="shared" si="7"/>
        <v>2144.2791145002557</v>
      </c>
      <c r="Q41" s="14">
        <f t="shared" si="7"/>
        <v>2175.713370616043</v>
      </c>
      <c r="R41" s="14">
        <f t="shared" si="7"/>
        <v>0</v>
      </c>
      <c r="S41" s="14">
        <f t="shared" ref="S41:AB41" si="8">SUM(S37:S40)</f>
        <v>0</v>
      </c>
      <c r="T41" s="14">
        <f t="shared" si="8"/>
        <v>0</v>
      </c>
      <c r="U41" s="14">
        <f t="shared" si="8"/>
        <v>0</v>
      </c>
      <c r="V41" s="14">
        <f t="shared" si="8"/>
        <v>0</v>
      </c>
      <c r="W41" s="14">
        <f t="shared" si="8"/>
        <v>0</v>
      </c>
      <c r="X41" s="14">
        <f t="shared" si="8"/>
        <v>0</v>
      </c>
      <c r="Y41" s="14">
        <f t="shared" si="8"/>
        <v>0</v>
      </c>
      <c r="Z41" s="14">
        <f t="shared" si="8"/>
        <v>0</v>
      </c>
      <c r="AA41" s="14">
        <f t="shared" si="8"/>
        <v>0</v>
      </c>
      <c r="AB41" s="14">
        <f t="shared" si="8"/>
        <v>0</v>
      </c>
      <c r="AC41" s="14"/>
      <c r="AD41" s="14">
        <f>SUM(B41:AB41)</f>
        <v>29531.72531915209</v>
      </c>
    </row>
    <row r="42" spans="1:30" x14ac:dyDescent="0.25">
      <c r="A42" s="13"/>
    </row>
    <row r="43" spans="1:30" x14ac:dyDescent="0.25">
      <c r="A43" s="23" t="s">
        <v>186</v>
      </c>
    </row>
    <row r="44" spans="1:30" x14ac:dyDescent="0.25">
      <c r="A44" t="s">
        <v>19</v>
      </c>
      <c r="B44">
        <f t="shared" ref="B44:AB44" si="9">IF(B33="JA",$C$1*(1-$C$4)*(1-$C$3),0)</f>
        <v>0</v>
      </c>
      <c r="C44">
        <f t="shared" si="9"/>
        <v>0</v>
      </c>
      <c r="D44">
        <f t="shared" si="9"/>
        <v>0</v>
      </c>
      <c r="E44">
        <f t="shared" si="9"/>
        <v>0</v>
      </c>
      <c r="F44">
        <f t="shared" si="9"/>
        <v>0</v>
      </c>
      <c r="G44">
        <f t="shared" si="9"/>
        <v>0</v>
      </c>
      <c r="H44">
        <f t="shared" si="9"/>
        <v>0</v>
      </c>
      <c r="I44">
        <f t="shared" si="9"/>
        <v>0</v>
      </c>
      <c r="J44">
        <f t="shared" si="9"/>
        <v>0</v>
      </c>
      <c r="K44">
        <f t="shared" si="9"/>
        <v>0</v>
      </c>
      <c r="L44">
        <f t="shared" si="9"/>
        <v>0</v>
      </c>
      <c r="M44">
        <f t="shared" si="9"/>
        <v>0</v>
      </c>
      <c r="N44">
        <f t="shared" si="9"/>
        <v>0</v>
      </c>
      <c r="O44">
        <f t="shared" si="9"/>
        <v>0</v>
      </c>
      <c r="P44" s="10">
        <f t="shared" si="9"/>
        <v>0</v>
      </c>
      <c r="Q44" s="10">
        <f t="shared" si="9"/>
        <v>0</v>
      </c>
      <c r="R44" s="10">
        <f t="shared" si="9"/>
        <v>0</v>
      </c>
      <c r="S44" s="10">
        <f t="shared" si="9"/>
        <v>0</v>
      </c>
      <c r="T44" s="10">
        <f t="shared" si="9"/>
        <v>0</v>
      </c>
      <c r="U44" s="10">
        <f t="shared" si="9"/>
        <v>0</v>
      </c>
      <c r="V44" s="10">
        <f t="shared" si="9"/>
        <v>0</v>
      </c>
      <c r="W44" s="10">
        <f t="shared" si="9"/>
        <v>0</v>
      </c>
      <c r="X44" s="10">
        <f t="shared" si="9"/>
        <v>0</v>
      </c>
      <c r="Y44" s="10">
        <f t="shared" si="9"/>
        <v>0</v>
      </c>
      <c r="Z44" s="10">
        <f t="shared" si="9"/>
        <v>0</v>
      </c>
      <c r="AA44" s="10">
        <f t="shared" si="9"/>
        <v>0</v>
      </c>
      <c r="AB44" s="10">
        <f t="shared" si="9"/>
        <v>0</v>
      </c>
      <c r="AC44" s="10"/>
      <c r="AD44" s="10">
        <f t="shared" ref="AD44:AD67" si="10">SUM(B44:AB44)</f>
        <v>0</v>
      </c>
    </row>
    <row r="45" spans="1:30" x14ac:dyDescent="0.25">
      <c r="A45" s="13" t="s">
        <v>27</v>
      </c>
      <c r="AD45">
        <f t="shared" si="10"/>
        <v>0</v>
      </c>
    </row>
    <row r="46" spans="1:30" x14ac:dyDescent="0.25">
      <c r="A46" t="s">
        <v>22</v>
      </c>
      <c r="B46" s="10">
        <f t="shared" ref="B46:AB46" si="11">IF(B33="JA",$C$1*(1-$C$3)*$C$4*9.5/$C$14,0)</f>
        <v>0</v>
      </c>
      <c r="C46" s="10">
        <f t="shared" si="11"/>
        <v>1647.7446808510638</v>
      </c>
      <c r="D46" s="10">
        <f t="shared" si="11"/>
        <v>1647.7446808510638</v>
      </c>
      <c r="E46" s="10">
        <f t="shared" si="11"/>
        <v>1647.7446808510638</v>
      </c>
      <c r="F46" s="10">
        <f t="shared" si="11"/>
        <v>1647.7446808510638</v>
      </c>
      <c r="G46" s="10">
        <f t="shared" si="11"/>
        <v>1647.7446808510638</v>
      </c>
      <c r="H46" s="10">
        <f t="shared" si="11"/>
        <v>1647.7446808510638</v>
      </c>
      <c r="I46" s="10">
        <f t="shared" si="11"/>
        <v>1647.7446808510638</v>
      </c>
      <c r="J46" s="10">
        <f t="shared" si="11"/>
        <v>1647.7446808510638</v>
      </c>
      <c r="K46" s="10">
        <f t="shared" si="11"/>
        <v>1647.7446808510638</v>
      </c>
      <c r="L46" s="10">
        <f t="shared" si="11"/>
        <v>1647.7446808510638</v>
      </c>
      <c r="M46" s="10">
        <f t="shared" si="11"/>
        <v>1647.7446808510638</v>
      </c>
      <c r="N46" s="10">
        <f t="shared" si="11"/>
        <v>1647.7446808510638</v>
      </c>
      <c r="O46" s="10">
        <f t="shared" si="11"/>
        <v>1647.7446808510638</v>
      </c>
      <c r="P46" s="10">
        <f t="shared" si="11"/>
        <v>1647.7446808510638</v>
      </c>
      <c r="Q46" s="10">
        <f t="shared" si="11"/>
        <v>1647.7446808510638</v>
      </c>
      <c r="R46" s="10">
        <f t="shared" si="11"/>
        <v>0</v>
      </c>
      <c r="S46" s="10">
        <f t="shared" si="11"/>
        <v>0</v>
      </c>
      <c r="T46" s="10">
        <f t="shared" si="11"/>
        <v>0</v>
      </c>
      <c r="U46" s="10">
        <f t="shared" si="11"/>
        <v>0</v>
      </c>
      <c r="V46" s="10">
        <f t="shared" si="11"/>
        <v>0</v>
      </c>
      <c r="W46" s="10">
        <f t="shared" si="11"/>
        <v>0</v>
      </c>
      <c r="X46" s="10">
        <f t="shared" si="11"/>
        <v>0</v>
      </c>
      <c r="Y46" s="10">
        <f t="shared" si="11"/>
        <v>0</v>
      </c>
      <c r="Z46" s="10">
        <f t="shared" si="11"/>
        <v>0</v>
      </c>
      <c r="AA46" s="10">
        <f t="shared" si="11"/>
        <v>0</v>
      </c>
      <c r="AB46" s="10">
        <f t="shared" si="11"/>
        <v>0</v>
      </c>
      <c r="AC46" s="10"/>
      <c r="AD46" s="10">
        <f t="shared" si="10"/>
        <v>24716.170212765959</v>
      </c>
    </row>
    <row r="47" spans="1:30" x14ac:dyDescent="0.25">
      <c r="A47" s="13" t="s">
        <v>27</v>
      </c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>
        <f t="shared" si="10"/>
        <v>0</v>
      </c>
    </row>
    <row r="48" spans="1:30" x14ac:dyDescent="0.25">
      <c r="A48" t="s">
        <v>13</v>
      </c>
      <c r="B48" s="2">
        <f>VLOOKUP($C$8,Prijzen!$B$32:$T$35,'Business case'!B31,FALSE)</f>
        <v>1.248756086373378</v>
      </c>
      <c r="C48" s="2">
        <f>VLOOKUP($C$8,Prijzen!$B$32:$T$35,'Business case'!C31,FALSE)</f>
        <v>1.2514967446419549</v>
      </c>
      <c r="D48" s="2">
        <f>VLOOKUP($C$8,Prijzen!$B$32:$T$35,'Business case'!D31,FALSE)</f>
        <v>1.2287304397192578</v>
      </c>
      <c r="E48" s="2">
        <f>VLOOKUP($C$8,Prijzen!$B$32:$T$35,'Business case'!E31,FALSE)</f>
        <v>1.2128648759239511</v>
      </c>
      <c r="F48" s="2">
        <f>VLOOKUP($C$8,Prijzen!$B$32:$T$35,'Business case'!F31,FALSE)</f>
        <v>1.222362781734142</v>
      </c>
      <c r="G48" s="2">
        <f>VLOOKUP($C$8,Prijzen!$B$32:$T$35,'Business case'!G31,FALSE)</f>
        <v>1.2671352026773273</v>
      </c>
      <c r="H48" s="2">
        <f>VLOOKUP($C$8,Prijzen!$B$32:$T$35,'Business case'!H31,FALSE)</f>
        <v>1.2991424041980122</v>
      </c>
      <c r="I48" s="2">
        <f>VLOOKUP($C$8,Prijzen!$B$32:$T$35,'Business case'!I31,FALSE)</f>
        <v>1.3162505241946256</v>
      </c>
      <c r="J48" s="2">
        <f>VLOOKUP($C$8,Prijzen!$B$32:$T$35,'Business case'!J31,FALSE)</f>
        <v>1.3337008065911713</v>
      </c>
      <c r="K48" s="2">
        <f>VLOOKUP($C$8,Prijzen!$B$32:$T$35,'Business case'!K31,FALSE)</f>
        <v>1.3515000946356479</v>
      </c>
      <c r="L48" s="2">
        <f>VLOOKUP($C$8,Prijzen!$B$32:$T$35,'Business case'!L31,FALSE)</f>
        <v>1.369655368441014</v>
      </c>
      <c r="M48" s="2">
        <f>VLOOKUP($C$8,Prijzen!$B$32:$T$35,'Business case'!M31,FALSE)</f>
        <v>1.3881737477224874</v>
      </c>
      <c r="N48" s="2">
        <f>VLOOKUP($C$8,Prijzen!$B$32:$T$35,'Business case'!N31,FALSE)</f>
        <v>1.4070624945895902</v>
      </c>
      <c r="O48" s="2">
        <f>VLOOKUP($C$8,Prijzen!$B$32:$T$35,'Business case'!O31,FALSE)</f>
        <v>1.4263290163940352</v>
      </c>
      <c r="P48" s="2">
        <f>VLOOKUP($C$8,Prijzen!$B$32:$T$35,'Business case'!P31,FALSE)</f>
        <v>1.445980868634569</v>
      </c>
      <c r="Q48" s="2">
        <f>VLOOKUP($C$8,Prijzen!$B$32:$T$35,'Business case'!Q31,FALSE)</f>
        <v>1.4660257579199134</v>
      </c>
      <c r="R48" s="2">
        <f>VLOOKUP($C$8,Prijzen!$B$32:$T$35,'Business case'!R31,FALSE)</f>
        <v>1.4864715449909649</v>
      </c>
      <c r="S48" s="2">
        <f>VLOOKUP($C$8,Prijzen!$B$32:$T$35,'Business case'!S31,FALSE)</f>
        <v>1.2991424041980122</v>
      </c>
      <c r="T48" s="2">
        <f>VLOOKUP($C$8,Prijzen!$B$32:$T$35,'Business case'!T31,FALSE)</f>
        <v>1.2991424041980122</v>
      </c>
      <c r="U48" s="2">
        <f>VLOOKUP($C$8,Prijzen!$B$32:$T$35,'Business case'!U31,FALSE)</f>
        <v>1.2991424041980122</v>
      </c>
      <c r="V48" s="2">
        <f>VLOOKUP($C$8,Prijzen!$B$32:$T$35,'Business case'!V31,FALSE)</f>
        <v>1.2991424041980122</v>
      </c>
      <c r="W48" s="2">
        <f>VLOOKUP($C$8,Prijzen!$B$32:$T$35,'Business case'!W31,FALSE)</f>
        <v>1.2991424041980122</v>
      </c>
      <c r="X48" s="2">
        <f>VLOOKUP($C$8,Prijzen!$B$32:$T$35,'Business case'!X31,FALSE)</f>
        <v>1.2991424041980122</v>
      </c>
      <c r="Y48" s="2">
        <f>VLOOKUP($C$8,Prijzen!$B$32:$T$35,'Business case'!Y31,FALSE)</f>
        <v>1.2991424041980122</v>
      </c>
      <c r="Z48" s="2">
        <f>VLOOKUP($C$8,Prijzen!$B$32:$T$35,'Business case'!Z31,FALSE)</f>
        <v>1.2991424041980122</v>
      </c>
      <c r="AA48" s="2">
        <f>VLOOKUP($C$8,Prijzen!$B$32:$T$35,'Business case'!AA31,FALSE)</f>
        <v>1.2991424041980122</v>
      </c>
      <c r="AB48" s="2">
        <f>VLOOKUP($C$8,Prijzen!$B$32:$T$35,'Business case'!AB31,FALSE)</f>
        <v>1.2991424041980122</v>
      </c>
      <c r="AC48" s="2"/>
      <c r="AD48" s="2">
        <f t="shared" si="10"/>
        <v>35.713062801362163</v>
      </c>
    </row>
    <row r="49" spans="1:30" x14ac:dyDescent="0.25">
      <c r="A49" t="s">
        <v>12</v>
      </c>
      <c r="B49" s="2">
        <f>VLOOKUP($C$8,Prijzen!$B$38:$T$41,'Business case'!B31,FALSE)</f>
        <v>0.30772435747266325</v>
      </c>
      <c r="C49" s="2">
        <f>VLOOKUP($C$8,Prijzen!$B$38:$T$41,'Business case'!C31,FALSE)</f>
        <v>0.275890183279209</v>
      </c>
      <c r="D49" s="2">
        <f>VLOOKUP($C$8,Prijzen!$B$38:$T$41,'Business case'!D31,FALSE)</f>
        <v>0.24897066227602277</v>
      </c>
      <c r="E49" s="2">
        <f>VLOOKUP($C$8,Prijzen!$B$38:$T$41,'Business case'!E31,FALSE)</f>
        <v>0.23621624314417644</v>
      </c>
      <c r="F49" s="2">
        <f>VLOOKUP($C$8,Prijzen!$B$38:$T$41,'Business case'!F31,FALSE)</f>
        <v>0.22470481824054794</v>
      </c>
      <c r="G49" s="2">
        <f>VLOOKUP($C$8,Prijzen!$B$38:$T$41,'Business case'!G31,FALSE)</f>
        <v>0.22722462021985299</v>
      </c>
      <c r="H49" s="2">
        <f>VLOOKUP($C$8,Prijzen!$B$38:$T$41,'Business case'!H31,FALSE)</f>
        <v>0.23411230073066347</v>
      </c>
      <c r="I49" s="2">
        <f>VLOOKUP($C$8,Prijzen!$B$38:$T$41,'Business case'!I31,FALSE)</f>
        <v>0.2360860841826537</v>
      </c>
      <c r="J49" s="2">
        <f>VLOOKUP($C$8,Prijzen!$B$38:$T$41,'Business case'!J31,FALSE)</f>
        <v>0.23809934330368376</v>
      </c>
      <c r="K49" s="2">
        <f>VLOOKUP($C$8,Prijzen!$B$38:$T$41,'Business case'!K31,FALSE)</f>
        <v>0.24015286760713439</v>
      </c>
      <c r="L49" s="2">
        <f>VLOOKUP($C$8,Prijzen!$B$38:$T$41,'Business case'!L31,FALSE)</f>
        <v>0.24224746239665404</v>
      </c>
      <c r="M49" s="2">
        <f>VLOOKUP($C$8,Prijzen!$B$38:$T$41,'Business case'!M31,FALSE)</f>
        <v>0.24438394908196409</v>
      </c>
      <c r="N49" s="2">
        <f>VLOOKUP($C$8,Prijzen!$B$38:$T$41,'Business case'!N31,FALSE)</f>
        <v>0.24656316550098034</v>
      </c>
      <c r="O49" s="2">
        <f>VLOOKUP($C$8,Prijzen!$B$38:$T$41,'Business case'!O31,FALSE)</f>
        <v>0.2487859662483769</v>
      </c>
      <c r="P49" s="2">
        <f>VLOOKUP($C$8,Prijzen!$B$38:$T$41,'Business case'!P31,FALSE)</f>
        <v>0.25105322301072142</v>
      </c>
      <c r="Q49" s="2">
        <f>VLOOKUP($C$8,Prijzen!$B$38:$T$41,'Business case'!Q31,FALSE)</f>
        <v>0.25336582490831283</v>
      </c>
      <c r="R49" s="2">
        <f>VLOOKUP($C$8,Prijzen!$B$38:$T$41,'Business case'!R31,FALSE)</f>
        <v>0.25572467884385602</v>
      </c>
      <c r="S49" s="2">
        <f>VLOOKUP($C$8,Prijzen!$B$38:$T$41,'Business case'!S31,FALSE)</f>
        <v>0.23411230073066347</v>
      </c>
      <c r="T49" s="2">
        <f>VLOOKUP($C$8,Prijzen!$B$38:$T$41,'Business case'!T31,FALSE)</f>
        <v>0.23411230073066347</v>
      </c>
      <c r="U49" s="2">
        <f>VLOOKUP($C$8,Prijzen!$B$38:$T$41,'Business case'!U31,FALSE)</f>
        <v>0.23411230073066347</v>
      </c>
      <c r="V49" s="2">
        <f>VLOOKUP($C$8,Prijzen!$B$38:$T$41,'Business case'!V31,FALSE)</f>
        <v>0.23411230073066347</v>
      </c>
      <c r="W49" s="2">
        <f>VLOOKUP($C$8,Prijzen!$B$38:$T$41,'Business case'!W31,FALSE)</f>
        <v>0.23411230073066347</v>
      </c>
      <c r="X49" s="2">
        <f>VLOOKUP($C$8,Prijzen!$B$38:$T$41,'Business case'!X31,FALSE)</f>
        <v>0.23411230073066347</v>
      </c>
      <c r="Y49" s="2">
        <f>VLOOKUP($C$8,Prijzen!$B$38:$T$41,'Business case'!Y31,FALSE)</f>
        <v>0.23411230073066347</v>
      </c>
      <c r="Z49" s="2">
        <f>VLOOKUP($C$8,Prijzen!$B$38:$T$41,'Business case'!Z31,FALSE)</f>
        <v>0.23411230073066347</v>
      </c>
      <c r="AA49" s="2">
        <f>VLOOKUP($C$8,Prijzen!$B$38:$T$41,'Business case'!AA31,FALSE)</f>
        <v>0.23411230073066347</v>
      </c>
      <c r="AB49" s="2">
        <f>VLOOKUP($C$8,Prijzen!$B$38:$T$41,'Business case'!AB31,FALSE)</f>
        <v>0.23411230073066347</v>
      </c>
      <c r="AC49" s="2"/>
      <c r="AD49" s="2">
        <f t="shared" si="10"/>
        <v>6.5524287577541047</v>
      </c>
    </row>
    <row r="50" spans="1:30" x14ac:dyDescent="0.25">
      <c r="A50" t="s">
        <v>21</v>
      </c>
      <c r="B50" s="1">
        <f t="shared" ref="B50:O50" si="12">B49/(B48/9.5)</f>
        <v>2.3410347528157796</v>
      </c>
      <c r="C50" s="1">
        <f t="shared" si="12"/>
        <v>2.0942577376837876</v>
      </c>
      <c r="D50" s="1">
        <f t="shared" si="12"/>
        <v>1.9249309817396774</v>
      </c>
      <c r="E50" s="1">
        <f t="shared" si="12"/>
        <v>1.8502096601323152</v>
      </c>
      <c r="F50" s="1">
        <f t="shared" si="12"/>
        <v>1.7463684310289247</v>
      </c>
      <c r="G50" s="1">
        <f t="shared" si="12"/>
        <v>1.7035545122001428</v>
      </c>
      <c r="H50" s="1">
        <f t="shared" si="12"/>
        <v>1.7119500139126518</v>
      </c>
      <c r="I50" s="1">
        <f t="shared" si="12"/>
        <v>1.7039444684039335</v>
      </c>
      <c r="J50" s="1">
        <f t="shared" si="12"/>
        <v>1.6959903977012178</v>
      </c>
      <c r="K50" s="1">
        <f t="shared" si="12"/>
        <v>1.6880888512870105</v>
      </c>
      <c r="L50" s="1">
        <f t="shared" si="12"/>
        <v>1.6802408443721761</v>
      </c>
      <c r="M50" s="1">
        <f t="shared" si="12"/>
        <v>1.6724473576075609</v>
      </c>
      <c r="N50" s="1">
        <f t="shared" si="12"/>
        <v>1.6647093368390338</v>
      </c>
      <c r="O50" s="1">
        <f t="shared" si="12"/>
        <v>1.657027692905501</v>
      </c>
      <c r="P50" s="1">
        <f t="shared" ref="P50" si="13">P49/(P48/9.5)</f>
        <v>1.6494033014793619</v>
      </c>
      <c r="Q50" s="1">
        <f t="shared" ref="Q50" si="14">Q49/(Q48/9.5)</f>
        <v>1.6418370029487988</v>
      </c>
      <c r="R50" s="1">
        <f t="shared" ref="R50:AB50" si="15">R49/(R48/9.5)</f>
        <v>1.6343296023412266</v>
      </c>
      <c r="S50" s="1">
        <f t="shared" si="15"/>
        <v>1.7119500139126518</v>
      </c>
      <c r="T50" s="1">
        <f t="shared" si="15"/>
        <v>1.7119500139126518</v>
      </c>
      <c r="U50" s="1">
        <f t="shared" si="15"/>
        <v>1.7119500139126518</v>
      </c>
      <c r="V50" s="1">
        <f t="shared" si="15"/>
        <v>1.7119500139126518</v>
      </c>
      <c r="W50" s="1">
        <f t="shared" si="15"/>
        <v>1.7119500139126518</v>
      </c>
      <c r="X50" s="1">
        <f t="shared" si="15"/>
        <v>1.7119500139126518</v>
      </c>
      <c r="Y50" s="1">
        <f t="shared" si="15"/>
        <v>1.7119500139126518</v>
      </c>
      <c r="Z50" s="1">
        <f t="shared" si="15"/>
        <v>1.7119500139126518</v>
      </c>
      <c r="AA50" s="1">
        <f t="shared" si="15"/>
        <v>1.7119500139126518</v>
      </c>
      <c r="AB50" s="1">
        <f t="shared" si="15"/>
        <v>1.7119500139126518</v>
      </c>
      <c r="AC50" s="1"/>
      <c r="AD50" s="1">
        <f t="shared" si="10"/>
        <v>47.179825084525589</v>
      </c>
    </row>
    <row r="51" spans="1:30" x14ac:dyDescent="0.25">
      <c r="A51" t="s">
        <v>30</v>
      </c>
      <c r="B51" s="8">
        <f>IFERROR(B45*Prijzen!$B$83+('Business case'!B44-'Business case'!B45)*'Business case'!B48,"")</f>
        <v>0</v>
      </c>
      <c r="C51" s="8">
        <f>IFERROR(C45*Prijzen!$B$83+('Business case'!C44-'Business case'!C45)*'Business case'!C48,"")</f>
        <v>0</v>
      </c>
      <c r="D51" s="8">
        <f>IFERROR(D45*Prijzen!$B$83+('Business case'!D44-'Business case'!D45)*'Business case'!D48,"")</f>
        <v>0</v>
      </c>
      <c r="E51" s="8">
        <f>IFERROR(E45*Prijzen!$B$83+('Business case'!E44-'Business case'!E45)*'Business case'!E48,"")</f>
        <v>0</v>
      </c>
      <c r="F51" s="8">
        <f>IFERROR(F45*Prijzen!$B$83+('Business case'!F44-'Business case'!F45)*'Business case'!F48,"")</f>
        <v>0</v>
      </c>
      <c r="G51" s="8">
        <f>IFERROR(G45*Prijzen!$B$83+('Business case'!G44-'Business case'!G45)*'Business case'!G48,"")</f>
        <v>0</v>
      </c>
      <c r="H51" s="8">
        <f>IFERROR(H45*Prijzen!$B$83+('Business case'!H44-'Business case'!H45)*'Business case'!H48,"")</f>
        <v>0</v>
      </c>
      <c r="I51" s="8">
        <f>IFERROR(I45*Prijzen!$B$83+('Business case'!I44-'Business case'!I45)*'Business case'!I48,"")</f>
        <v>0</v>
      </c>
      <c r="J51" s="8">
        <f>IFERROR(J45*Prijzen!$B$83+('Business case'!J44-'Business case'!J45)*'Business case'!J48,"")</f>
        <v>0</v>
      </c>
      <c r="K51" s="8">
        <f>IFERROR(K45*Prijzen!$B$83+('Business case'!K44-'Business case'!K45)*'Business case'!K48,"")</f>
        <v>0</v>
      </c>
      <c r="L51" s="8">
        <f>IFERROR(L45*Prijzen!$B$83+('Business case'!L44-'Business case'!L45)*'Business case'!L48,"")</f>
        <v>0</v>
      </c>
      <c r="M51" s="8">
        <f>IFERROR(M45*Prijzen!$B$83+('Business case'!M44-'Business case'!M45)*'Business case'!M48,"")</f>
        <v>0</v>
      </c>
      <c r="N51" s="8">
        <f>IFERROR(N45*Prijzen!$B$83+('Business case'!N44-'Business case'!N45)*'Business case'!N48,"")</f>
        <v>0</v>
      </c>
      <c r="O51" s="8">
        <f>IFERROR(O45*Prijzen!$B$83+('Business case'!O44-'Business case'!O45)*'Business case'!O48,"")</f>
        <v>0</v>
      </c>
      <c r="P51" s="8">
        <f>IFERROR(P45*Prijzen!$B$83+('Business case'!P44-'Business case'!P45)*'Business case'!P48,"")</f>
        <v>0</v>
      </c>
      <c r="Q51" s="8">
        <f>IFERROR(Q45*Prijzen!$B$83+('Business case'!Q44-'Business case'!Q45)*'Business case'!Q48,"")</f>
        <v>0</v>
      </c>
      <c r="R51" s="8">
        <f>IFERROR(R45*Prijzen!$B$83+('Business case'!R44-'Business case'!R45)*'Business case'!R48,"")</f>
        <v>0</v>
      </c>
      <c r="S51" s="8">
        <f>IFERROR(S45*Prijzen!$B$83+('Business case'!S44-'Business case'!S45)*'Business case'!S48,"")</f>
        <v>0</v>
      </c>
      <c r="T51" s="8">
        <f>IFERROR(T45*Prijzen!$B$83+('Business case'!T44-'Business case'!T45)*'Business case'!T48,"")</f>
        <v>0</v>
      </c>
      <c r="U51" s="8">
        <f>IFERROR(U45*Prijzen!$B$83+('Business case'!U44-'Business case'!U45)*'Business case'!U48,"")</f>
        <v>0</v>
      </c>
      <c r="V51" s="8">
        <f>IFERROR(V45*Prijzen!$B$83+('Business case'!V44-'Business case'!V45)*'Business case'!V48,"")</f>
        <v>0</v>
      </c>
      <c r="W51" s="8">
        <f>IFERROR(W45*Prijzen!$B$83+('Business case'!W44-'Business case'!W45)*'Business case'!W48,"")</f>
        <v>0</v>
      </c>
      <c r="X51" s="8">
        <f>IFERROR(X45*Prijzen!$B$83+('Business case'!X44-'Business case'!X45)*'Business case'!X48,"")</f>
        <v>0</v>
      </c>
      <c r="Y51" s="8">
        <f>IFERROR(Y45*Prijzen!$B$83+('Business case'!Y44-'Business case'!Y45)*'Business case'!Y48,"")</f>
        <v>0</v>
      </c>
      <c r="Z51" s="8">
        <f>IFERROR(Z45*Prijzen!$B$83+('Business case'!Z44-'Business case'!Z45)*'Business case'!Z48,"")</f>
        <v>0</v>
      </c>
      <c r="AA51" s="8">
        <f>IFERROR(AA45*Prijzen!$B$83+('Business case'!AA44-'Business case'!AA45)*'Business case'!AA48,"")</f>
        <v>0</v>
      </c>
      <c r="AB51" s="8">
        <f>IFERROR(AB45*Prijzen!$B$83+('Business case'!AB44-'Business case'!AB45)*'Business case'!AB48,"")</f>
        <v>0</v>
      </c>
      <c r="AC51" s="8"/>
      <c r="AD51" s="8">
        <f t="shared" si="10"/>
        <v>0</v>
      </c>
    </row>
    <row r="52" spans="1:30" x14ac:dyDescent="0.25">
      <c r="A52" t="s">
        <v>31</v>
      </c>
      <c r="B52" s="8">
        <f>IFERROR(B47*Prijzen!$C$83+('Business case'!B46-'Business case'!B47)*'Business case'!B49,"")</f>
        <v>0</v>
      </c>
      <c r="C52" s="8">
        <f>IFERROR(C47*Prijzen!$C$83+('Business case'!C46-'Business case'!C47)*'Business case'!C49,"")</f>
        <v>454.59658199734173</v>
      </c>
      <c r="D52" s="8">
        <f>IFERROR(D47*Prijzen!$C$83+('Business case'!D46-'Business case'!D47)*'Business case'!D49,"")</f>
        <v>410.24008445328315</v>
      </c>
      <c r="E52" s="8">
        <f>IFERROR(E47*Prijzen!$C$83+('Business case'!E46-'Business case'!E47)*'Business case'!E49,"")</f>
        <v>389.22405817143829</v>
      </c>
      <c r="F52" s="8">
        <f>IFERROR(F47*Prijzen!$C$83+('Business case'!F46-'Business case'!F47)*'Business case'!F49,"")</f>
        <v>370.25616901746798</v>
      </c>
      <c r="G52" s="8">
        <f>IFERROR(G47*Prijzen!$C$83+('Business case'!G46-'Business case'!G47)*'Business case'!G49,"")</f>
        <v>374.40815932566585</v>
      </c>
      <c r="H52" s="8">
        <f>IFERROR(H47*Prijzen!$C$83+('Business case'!H46-'Business case'!H47)*'Business case'!H49,"")</f>
        <v>385.75729825075535</v>
      </c>
      <c r="I52" s="8">
        <f>IFERROR(I47*Prijzen!$C$83+('Business case'!I46-'Business case'!I47)*'Business case'!I49,"")</f>
        <v>389.00958943492412</v>
      </c>
      <c r="J52" s="8">
        <f>IFERROR(J47*Prijzen!$C$83+('Business case'!J46-'Business case'!J47)*'Business case'!J49,"")</f>
        <v>392.32692644277626</v>
      </c>
      <c r="K52" s="8">
        <f>IFERROR(K47*Prijzen!$C$83+('Business case'!K46-'Business case'!K47)*'Business case'!K49,"")</f>
        <v>395.71061019078542</v>
      </c>
      <c r="L52" s="8">
        <f>IFERROR(L47*Prijzen!$C$83+('Business case'!L46-'Business case'!L47)*'Business case'!L49,"")</f>
        <v>399.16196761375477</v>
      </c>
      <c r="M52" s="8">
        <f>IFERROR(M47*Prijzen!$C$83+('Business case'!M46-'Business case'!M47)*'Business case'!M49,"")</f>
        <v>402.68235218518356</v>
      </c>
      <c r="N52" s="8">
        <f>IFERROR(N47*Prijzen!$C$83+('Business case'!N46-'Business case'!N47)*'Business case'!N49,"")</f>
        <v>406.27314444804085</v>
      </c>
      <c r="O52" s="8">
        <f>IFERROR(O47*Prijzen!$C$83+('Business case'!O46-'Business case'!O47)*'Business case'!O49,"")</f>
        <v>409.93575255615531</v>
      </c>
      <c r="P52" s="8">
        <f>IFERROR(P47*Prijzen!$C$83+('Business case'!P46-'Business case'!P47)*'Business case'!P49,"")</f>
        <v>413.67161282643212</v>
      </c>
      <c r="Q52" s="8">
        <f>IFERROR(Q47*Prijzen!$C$83+('Business case'!Q46-'Business case'!Q47)*'Business case'!Q49,"")</f>
        <v>417.48219030211442</v>
      </c>
      <c r="R52" s="8">
        <f>IFERROR(R47*Prijzen!$C$83+('Business case'!R46-'Business case'!R47)*'Business case'!R49,"")</f>
        <v>0</v>
      </c>
      <c r="S52" s="8">
        <f>IFERROR(S47*Prijzen!$C$83+('Business case'!S46-'Business case'!S47)*'Business case'!S49,"")</f>
        <v>0</v>
      </c>
      <c r="T52" s="8">
        <f>IFERROR(T47*Prijzen!$C$83+('Business case'!T46-'Business case'!T47)*'Business case'!T49,"")</f>
        <v>0</v>
      </c>
      <c r="U52" s="8">
        <f>IFERROR(U47*Prijzen!$C$83+('Business case'!U46-'Business case'!U47)*'Business case'!U49,"")</f>
        <v>0</v>
      </c>
      <c r="V52" s="8">
        <f>IFERROR(V47*Prijzen!$C$83+('Business case'!V46-'Business case'!V47)*'Business case'!V49,"")</f>
        <v>0</v>
      </c>
      <c r="W52" s="8">
        <f>IFERROR(W47*Prijzen!$C$83+('Business case'!W46-'Business case'!W47)*'Business case'!W49,"")</f>
        <v>0</v>
      </c>
      <c r="X52" s="8">
        <f>IFERROR(X47*Prijzen!$C$83+('Business case'!X46-'Business case'!X47)*'Business case'!X49,"")</f>
        <v>0</v>
      </c>
      <c r="Y52" s="8">
        <f>IFERROR(Y47*Prijzen!$C$83+('Business case'!Y46-'Business case'!Y47)*'Business case'!Y49,"")</f>
        <v>0</v>
      </c>
      <c r="Z52" s="8">
        <f>IFERROR(Z47*Prijzen!$C$83+('Business case'!Z46-'Business case'!Z47)*'Business case'!Z49,"")</f>
        <v>0</v>
      </c>
      <c r="AA52" s="8">
        <f>IFERROR(AA47*Prijzen!$C$83+('Business case'!AA46-'Business case'!AA47)*'Business case'!AA49,"")</f>
        <v>0</v>
      </c>
      <c r="AB52" s="8">
        <f>IFERROR(AB47*Prijzen!$C$83+('Business case'!AB46-'Business case'!AB47)*'Business case'!AB49,"")</f>
        <v>0</v>
      </c>
      <c r="AC52" s="8"/>
      <c r="AD52" s="8">
        <f t="shared" si="10"/>
        <v>6010.7364972161195</v>
      </c>
    </row>
    <row r="53" spans="1:30" x14ac:dyDescent="0.25">
      <c r="A53" t="s">
        <v>32</v>
      </c>
      <c r="B53" s="8">
        <f t="shared" ref="B53:AB53" si="16">IF($C$4=100%,0,B38)</f>
        <v>0</v>
      </c>
      <c r="C53" s="8">
        <f t="shared" si="16"/>
        <v>0</v>
      </c>
      <c r="D53" s="8">
        <f t="shared" si="16"/>
        <v>0</v>
      </c>
      <c r="E53" s="8">
        <f t="shared" si="16"/>
        <v>0</v>
      </c>
      <c r="F53" s="8">
        <f t="shared" si="16"/>
        <v>0</v>
      </c>
      <c r="G53" s="8">
        <f t="shared" si="16"/>
        <v>0</v>
      </c>
      <c r="H53" s="8">
        <f t="shared" si="16"/>
        <v>0</v>
      </c>
      <c r="I53" s="8">
        <f t="shared" si="16"/>
        <v>0</v>
      </c>
      <c r="J53" s="8">
        <f t="shared" si="16"/>
        <v>0</v>
      </c>
      <c r="K53" s="8">
        <f t="shared" si="16"/>
        <v>0</v>
      </c>
      <c r="L53" s="8">
        <f t="shared" si="16"/>
        <v>0</v>
      </c>
      <c r="M53" s="8">
        <f t="shared" si="16"/>
        <v>0</v>
      </c>
      <c r="N53" s="8">
        <f t="shared" si="16"/>
        <v>0</v>
      </c>
      <c r="O53" s="8">
        <f t="shared" si="16"/>
        <v>0</v>
      </c>
      <c r="P53" s="8">
        <f t="shared" si="16"/>
        <v>0</v>
      </c>
      <c r="Q53" s="8">
        <f t="shared" si="16"/>
        <v>0</v>
      </c>
      <c r="R53" s="8">
        <f t="shared" si="16"/>
        <v>0</v>
      </c>
      <c r="S53" s="8">
        <f t="shared" si="16"/>
        <v>0</v>
      </c>
      <c r="T53" s="8">
        <f t="shared" si="16"/>
        <v>0</v>
      </c>
      <c r="U53" s="8">
        <f t="shared" si="16"/>
        <v>0</v>
      </c>
      <c r="V53" s="8">
        <f t="shared" si="16"/>
        <v>0</v>
      </c>
      <c r="W53" s="8">
        <f t="shared" si="16"/>
        <v>0</v>
      </c>
      <c r="X53" s="8">
        <f t="shared" si="16"/>
        <v>0</v>
      </c>
      <c r="Y53" s="8">
        <f t="shared" si="16"/>
        <v>0</v>
      </c>
      <c r="Z53" s="8">
        <f t="shared" si="16"/>
        <v>0</v>
      </c>
      <c r="AA53" s="8">
        <f t="shared" si="16"/>
        <v>0</v>
      </c>
      <c r="AB53" s="8">
        <f t="shared" si="16"/>
        <v>0</v>
      </c>
      <c r="AC53" s="8"/>
      <c r="AD53" s="8">
        <f t="shared" si="10"/>
        <v>0</v>
      </c>
    </row>
    <row r="54" spans="1:30" x14ac:dyDescent="0.25">
      <c r="A54" t="s">
        <v>33</v>
      </c>
      <c r="B54" s="8">
        <f t="shared" ref="B54:AB54" si="17">IF($C$4=100%,0,B39)</f>
        <v>0</v>
      </c>
      <c r="C54" s="8">
        <f t="shared" si="17"/>
        <v>0</v>
      </c>
      <c r="D54" s="8">
        <f t="shared" si="17"/>
        <v>0</v>
      </c>
      <c r="E54" s="8">
        <f t="shared" si="17"/>
        <v>0</v>
      </c>
      <c r="F54" s="8">
        <f t="shared" si="17"/>
        <v>0</v>
      </c>
      <c r="G54" s="8">
        <f t="shared" si="17"/>
        <v>0</v>
      </c>
      <c r="H54" s="8">
        <f t="shared" si="17"/>
        <v>0</v>
      </c>
      <c r="I54" s="8">
        <f t="shared" si="17"/>
        <v>0</v>
      </c>
      <c r="J54" s="8">
        <f t="shared" si="17"/>
        <v>0</v>
      </c>
      <c r="K54" s="8">
        <f t="shared" si="17"/>
        <v>0</v>
      </c>
      <c r="L54" s="8">
        <f t="shared" si="17"/>
        <v>0</v>
      </c>
      <c r="M54" s="8">
        <f t="shared" si="17"/>
        <v>0</v>
      </c>
      <c r="N54" s="8">
        <f t="shared" si="17"/>
        <v>0</v>
      </c>
      <c r="O54" s="8">
        <f t="shared" si="17"/>
        <v>0</v>
      </c>
      <c r="P54" s="8">
        <f t="shared" si="17"/>
        <v>0</v>
      </c>
      <c r="Q54" s="8">
        <f t="shared" si="17"/>
        <v>0</v>
      </c>
      <c r="R54" s="8">
        <f t="shared" si="17"/>
        <v>0</v>
      </c>
      <c r="S54" s="8">
        <f t="shared" si="17"/>
        <v>0</v>
      </c>
      <c r="T54" s="8">
        <f t="shared" si="17"/>
        <v>0</v>
      </c>
      <c r="U54" s="8">
        <f t="shared" si="17"/>
        <v>0</v>
      </c>
      <c r="V54" s="8">
        <f t="shared" si="17"/>
        <v>0</v>
      </c>
      <c r="W54" s="8">
        <f t="shared" si="17"/>
        <v>0</v>
      </c>
      <c r="X54" s="8">
        <f t="shared" si="17"/>
        <v>0</v>
      </c>
      <c r="Y54" s="8">
        <f t="shared" si="17"/>
        <v>0</v>
      </c>
      <c r="Z54" s="8">
        <f t="shared" si="17"/>
        <v>0</v>
      </c>
      <c r="AA54" s="8">
        <f t="shared" si="17"/>
        <v>0</v>
      </c>
      <c r="AB54" s="8">
        <f t="shared" si="17"/>
        <v>0</v>
      </c>
      <c r="AC54" s="8"/>
      <c r="AD54" s="8">
        <f t="shared" si="10"/>
        <v>0</v>
      </c>
    </row>
    <row r="55" spans="1:30" x14ac:dyDescent="0.25">
      <c r="A55" t="s">
        <v>70</v>
      </c>
      <c r="B55" s="8">
        <f>IF(B33="JA",IF($C$4="100"%,0,Prijzen!D78),0)</f>
        <v>0</v>
      </c>
      <c r="C55" s="8">
        <f>IF(C33="JA",IF($C$4="100"%,0,Prijzen!E78),0)</f>
        <v>0</v>
      </c>
      <c r="D55" s="8">
        <f>IF(D33="JA",IF($C$4="100"%,0,Prijzen!F78),0)</f>
        <v>0</v>
      </c>
      <c r="E55" s="8">
        <f>IF(E33="JA",IF($C$4="100"%,0,Prijzen!G78),0)</f>
        <v>0</v>
      </c>
      <c r="F55" s="8">
        <f>IF(F33="JA",IF($C$4="100"%,0,Prijzen!H78),0)</f>
        <v>0</v>
      </c>
      <c r="G55" s="8">
        <f>IF(G33="JA",IF($C$4="100"%,0,Prijzen!I78),0)</f>
        <v>0</v>
      </c>
      <c r="H55" s="8">
        <f>IF(H33="JA",IF($C$4="100"%,0,Prijzen!J78),0)</f>
        <v>0</v>
      </c>
      <c r="I55" s="8">
        <f>IF(I33="JA",IF($C$4="100"%,0,Prijzen!K78),0)</f>
        <v>0</v>
      </c>
      <c r="J55" s="8">
        <f>IF(J33="JA",IF($C$4="100"%,0,Prijzen!L78),0)</f>
        <v>0</v>
      </c>
      <c r="K55" s="8">
        <f>IF(K33="JA",IF($C$4="100"%,0,Prijzen!M78),0)</f>
        <v>0</v>
      </c>
      <c r="L55" s="8">
        <f>IF(L33="JA",IF($C$4="100"%,0,Prijzen!N78),0)</f>
        <v>0</v>
      </c>
      <c r="M55" s="8">
        <f>IF(M33="JA",IF($C$4="100"%,0,Prijzen!O78),0)</f>
        <v>0</v>
      </c>
      <c r="N55" s="8">
        <f>IF(N33="JA",IF($C$4="100"%,0,Prijzen!P78),0)</f>
        <v>0</v>
      </c>
      <c r="O55" s="8">
        <f>IF(O33="JA",IF($C$4="100"%,0,Prijzen!Q78),0)</f>
        <v>0</v>
      </c>
      <c r="P55" s="8">
        <f>IF(P33="JA",IF($C$4="100"%,0,Prijzen!R78),0)</f>
        <v>0</v>
      </c>
      <c r="Q55" s="8">
        <f>IF(Q33="JA",IF($C$4="100"%,0,Prijzen!S78),0)</f>
        <v>0</v>
      </c>
      <c r="R55" s="8">
        <f>IF(R33="JA",IF($C$4="100"%,0,Prijzen!$T$78),0)</f>
        <v>0</v>
      </c>
      <c r="S55" s="8">
        <f>IF(S33="JA",IF($C$4="100"%,0,Prijzen!$T$78),0)</f>
        <v>0</v>
      </c>
      <c r="T55" s="8">
        <f>IF(T33="JA",IF($C$4="100"%,0,Prijzen!$T$78),0)</f>
        <v>0</v>
      </c>
      <c r="U55" s="8">
        <f>IF(U33="JA",IF($C$4="100"%,0,Prijzen!$T$78),0)</f>
        <v>0</v>
      </c>
      <c r="V55" s="8">
        <f>IF(V33="JA",IF($C$4="100"%,0,Prijzen!$T$78),0)</f>
        <v>0</v>
      </c>
      <c r="W55" s="8">
        <f>IF(W33="JA",IF($C$4="100"%,0,Prijzen!$T$78),0)</f>
        <v>0</v>
      </c>
      <c r="X55" s="8">
        <f>IF(X33="JA",IF($C$4="100"%,0,Prijzen!$T$78),0)</f>
        <v>0</v>
      </c>
      <c r="Y55" s="8">
        <f>IF(Y33="JA",IF($C$4="100"%,0,Prijzen!$T$78),0)</f>
        <v>0</v>
      </c>
      <c r="Z55" s="8">
        <f>IF(Z33="JA",IF($C$4="100"%,0,Prijzen!$T$78),0)</f>
        <v>0</v>
      </c>
      <c r="AA55" s="8">
        <f>IF(AA33="JA",IF($C$4="100"%,0,Prijzen!$T$78),0)</f>
        <v>0</v>
      </c>
      <c r="AB55" s="8">
        <f>IF(AB33="JA",IF($C$4="100"%,0,Prijzen!AC78),0)</f>
        <v>0</v>
      </c>
      <c r="AC55" s="8"/>
      <c r="AD55" s="8">
        <f t="shared" si="10"/>
        <v>0</v>
      </c>
    </row>
    <row r="56" spans="1:30" x14ac:dyDescent="0.25">
      <c r="A56" t="s">
        <v>121</v>
      </c>
      <c r="B56" s="8">
        <f>IF(B$33="JA",-PMT($C$17,15,$C$15,0,1),0)</f>
        <v>0</v>
      </c>
      <c r="C56" s="8">
        <f t="shared" ref="C56:AB56" si="18">IF(C$33="JA",-PMT($C$17,15,$C$15,0,1),0)</f>
        <v>1570.1983714717644</v>
      </c>
      <c r="D56" s="8">
        <f t="shared" si="18"/>
        <v>1570.1983714717644</v>
      </c>
      <c r="E56" s="8">
        <f t="shared" si="18"/>
        <v>1570.1983714717644</v>
      </c>
      <c r="F56" s="8">
        <f t="shared" si="18"/>
        <v>1570.1983714717644</v>
      </c>
      <c r="G56" s="8">
        <f t="shared" si="18"/>
        <v>1570.1983714717644</v>
      </c>
      <c r="H56" s="8">
        <f t="shared" si="18"/>
        <v>1570.1983714717644</v>
      </c>
      <c r="I56" s="8">
        <f t="shared" si="18"/>
        <v>1570.1983714717644</v>
      </c>
      <c r="J56" s="8">
        <f t="shared" si="18"/>
        <v>1570.1983714717644</v>
      </c>
      <c r="K56" s="8">
        <f t="shared" si="18"/>
        <v>1570.1983714717644</v>
      </c>
      <c r="L56" s="8">
        <f t="shared" si="18"/>
        <v>1570.1983714717644</v>
      </c>
      <c r="M56" s="8">
        <f t="shared" si="18"/>
        <v>1570.1983714717644</v>
      </c>
      <c r="N56" s="8">
        <f t="shared" si="18"/>
        <v>1570.1983714717644</v>
      </c>
      <c r="O56" s="8">
        <f t="shared" si="18"/>
        <v>1570.1983714717644</v>
      </c>
      <c r="P56" s="8">
        <f t="shared" si="18"/>
        <v>1570.1983714717644</v>
      </c>
      <c r="Q56" s="8">
        <f t="shared" si="18"/>
        <v>1570.1983714717644</v>
      </c>
      <c r="R56" s="8">
        <f t="shared" si="18"/>
        <v>0</v>
      </c>
      <c r="S56" s="8">
        <f t="shared" si="18"/>
        <v>0</v>
      </c>
      <c r="T56" s="8">
        <f t="shared" si="18"/>
        <v>0</v>
      </c>
      <c r="U56" s="8">
        <f t="shared" si="18"/>
        <v>0</v>
      </c>
      <c r="V56" s="8">
        <f t="shared" si="18"/>
        <v>0</v>
      </c>
      <c r="W56" s="8">
        <f t="shared" si="18"/>
        <v>0</v>
      </c>
      <c r="X56" s="8">
        <f t="shared" si="18"/>
        <v>0</v>
      </c>
      <c r="Y56" s="8">
        <f t="shared" si="18"/>
        <v>0</v>
      </c>
      <c r="Z56" s="8">
        <f t="shared" si="18"/>
        <v>0</v>
      </c>
      <c r="AA56" s="8">
        <f t="shared" si="18"/>
        <v>0</v>
      </c>
      <c r="AB56" s="8">
        <f t="shared" si="18"/>
        <v>0</v>
      </c>
      <c r="AC56" s="8"/>
      <c r="AD56" s="8">
        <f t="shared" si="10"/>
        <v>23552.975572076466</v>
      </c>
    </row>
    <row r="57" spans="1:30" x14ac:dyDescent="0.25">
      <c r="A57" t="s">
        <v>35</v>
      </c>
      <c r="B57" s="8">
        <f>IF(B33="JA",Kengetallen!$B$60*(1+Kengetallen!$B$2)^'Business case'!B$32,0)</f>
        <v>0</v>
      </c>
      <c r="C57" s="8">
        <f>IF(C33="JA",Kengetallen!$B$60*(1+Kengetallen!$B$2)^'Business case'!C$32,0)</f>
        <v>127.5</v>
      </c>
      <c r="D57" s="8">
        <f>IF(D33="JA",Kengetallen!$B$60*(1+Kengetallen!$B$2)^'Business case'!D$32,0)</f>
        <v>130.05000000000001</v>
      </c>
      <c r="E57" s="8">
        <f>IF(E33="JA",Kengetallen!$B$60*(1+Kengetallen!$B$2)^'Business case'!E$32,0)</f>
        <v>132.65099999999998</v>
      </c>
      <c r="F57" s="8">
        <f>IF(F33="JA",Kengetallen!$B$60*(1+Kengetallen!$B$2)^'Business case'!F$32,0)</f>
        <v>135.30402000000001</v>
      </c>
      <c r="G57" s="8">
        <f>IF(G33="JA",Kengetallen!$B$60*(1+Kengetallen!$B$2)^'Business case'!G$32,0)</f>
        <v>138.0101004</v>
      </c>
      <c r="H57" s="8">
        <f>IF(H33="JA",Kengetallen!$B$60*(1+Kengetallen!$B$2)^'Business case'!H$32,0)</f>
        <v>140.77030240800002</v>
      </c>
      <c r="I57" s="8">
        <f>IF(I33="JA",Kengetallen!$B$60*(1+Kengetallen!$B$2)^'Business case'!I$32,0)</f>
        <v>143.58570845615998</v>
      </c>
      <c r="J57" s="8">
        <f>IF(J33="JA",Kengetallen!$B$60*(1+Kengetallen!$B$2)^'Business case'!J$32,0)</f>
        <v>146.45742262528319</v>
      </c>
      <c r="K57" s="8">
        <f>IF(K33="JA",Kengetallen!$B$60*(1+Kengetallen!$B$2)^'Business case'!K$32,0)</f>
        <v>149.38657107778886</v>
      </c>
      <c r="L57" s="8">
        <f>IF(L33="JA",Kengetallen!$B$60*(1+Kengetallen!$B$2)^'Business case'!L$32,0)</f>
        <v>152.37430249934465</v>
      </c>
      <c r="M57" s="8">
        <f>IF(M33="JA",Kengetallen!$B$60*(1+Kengetallen!$B$2)^'Business case'!M$32,0)</f>
        <v>155.4217885493315</v>
      </c>
      <c r="N57" s="8">
        <f>IF(N33="JA",Kengetallen!$B$60*(1+Kengetallen!$B$2)^'Business case'!N$32,0)</f>
        <v>158.53022432031815</v>
      </c>
      <c r="O57" s="8">
        <f>IF(O33="JA",Kengetallen!$B$60*(1+Kengetallen!$B$2)^'Business case'!O$32,0)</f>
        <v>161.7008288067245</v>
      </c>
      <c r="P57" s="8">
        <f>IF(P33="JA",Kengetallen!$B$60*(1+Kengetallen!$B$2)^'Business case'!P$32,0)</f>
        <v>164.93484538285901</v>
      </c>
      <c r="Q57" s="8">
        <f>IF(Q33="JA",Kengetallen!$B$60*(1+Kengetallen!$B$2)^'Business case'!Q$32,0)</f>
        <v>168.23354229051614</v>
      </c>
      <c r="R57" s="8">
        <f>IF(R33="JA",Kengetallen!$B$60*(1+Kengetallen!$B$2)^'Business case'!R$32,0)</f>
        <v>0</v>
      </c>
      <c r="S57" s="8">
        <f>IF(S33="JA",Kengetallen!$B$60*(1+Kengetallen!$B$2)^'Business case'!S$32,0)</f>
        <v>0</v>
      </c>
      <c r="T57" s="8">
        <f>IF(T33="JA",Kengetallen!$B$60*(1+Kengetallen!$B$2)^'Business case'!T$32,0)</f>
        <v>0</v>
      </c>
      <c r="U57" s="8">
        <f>IF(U33="JA",Kengetallen!$B$60*(1+Kengetallen!$B$2)^'Business case'!U$32,0)</f>
        <v>0</v>
      </c>
      <c r="V57" s="8">
        <f>IF(V33="JA",Kengetallen!$B$60*(1+Kengetallen!$B$2)^'Business case'!V$32,0)</f>
        <v>0</v>
      </c>
      <c r="W57" s="8">
        <f>IF(W33="JA",Kengetallen!$B$60*(1+Kengetallen!$B$2)^'Business case'!W$32,0)</f>
        <v>0</v>
      </c>
      <c r="X57" s="8">
        <f>IF(X33="JA",Kengetallen!$B$60*(1+Kengetallen!$B$2)^'Business case'!X$32,0)</f>
        <v>0</v>
      </c>
      <c r="Y57" s="8">
        <f>IF(Y33="JA",Kengetallen!$B$60*(1+Kengetallen!$B$2)^'Business case'!Y$32,0)</f>
        <v>0</v>
      </c>
      <c r="Z57" s="8">
        <f>IF(Z33="JA",Kengetallen!$B$60*(1+Kengetallen!$B$2)^'Business case'!Z$32,0)</f>
        <v>0</v>
      </c>
      <c r="AA57" s="8">
        <f>IF(AA33="JA",Kengetallen!$B$60*(1+Kengetallen!$B$2)^'Business case'!AA$32,0)</f>
        <v>0</v>
      </c>
      <c r="AB57" s="8">
        <f>IF(AB33="JA",Kengetallen!$B$60*(1+Kengetallen!$B$2)^'Business case'!AB$32,0)</f>
        <v>0</v>
      </c>
      <c r="AC57" s="8"/>
      <c r="AD57" s="8">
        <f t="shared" si="10"/>
        <v>2204.9106568163261</v>
      </c>
    </row>
    <row r="58" spans="1:30" x14ac:dyDescent="0.25">
      <c r="A58" t="s">
        <v>54</v>
      </c>
      <c r="B58" s="10">
        <f>IF(B33="JA",($C$19+$C$7)*(1+Kengetallen!$B$19)^B32,0)</f>
        <v>0</v>
      </c>
      <c r="C58" s="10">
        <f>IF(C33="JA",($C$19+$C$7)*(1+Kengetallen!$B$19)^C32,0)</f>
        <v>1636.2104680851064</v>
      </c>
      <c r="D58" s="10">
        <f>IF(D33="JA",($C$19+$C$7)*(1+Kengetallen!$B$19)^D32,0)</f>
        <v>1624.7569948085104</v>
      </c>
      <c r="E58" s="10">
        <f>IF(E33="JA",($C$19+$C$7)*(1+Kengetallen!$B$19)^E32,0)</f>
        <v>1613.383695844851</v>
      </c>
      <c r="F58" s="10">
        <f>IF(F33="JA",($C$19+$C$7)*(1+Kengetallen!$B$19)^F32,0)</f>
        <v>1602.090009973937</v>
      </c>
      <c r="G58" s="10">
        <f>IF(G33="JA",($C$19+$C$7)*(1+Kengetallen!$B$19)^G32,0)</f>
        <v>1590.8753799041194</v>
      </c>
      <c r="H58" s="10">
        <f>IF(H33="JA",($C$19+$C$7)*(1+Kengetallen!$B$19)^H32,0)</f>
        <v>1579.7392522447904</v>
      </c>
      <c r="I58" s="10">
        <f>IF(I33="JA",($C$19+$C$7)*(1+Kengetallen!$B$19)^I32,0)</f>
        <v>1568.6810774790767</v>
      </c>
      <c r="J58" s="10">
        <f>IF(J33="JA",($C$19+$C$7)*(1+Kengetallen!$B$19)^J32,0)</f>
        <v>1557.7003099367232</v>
      </c>
      <c r="K58" s="10">
        <f>IF(K33="JA",($C$19+$C$7)*(1+Kengetallen!$B$19)^K32,0)</f>
        <v>1546.7964077671661</v>
      </c>
      <c r="L58" s="10">
        <f>IF(L33="JA",($C$19+$C$7)*(1+Kengetallen!$B$19)^L32,0)</f>
        <v>1535.968832912796</v>
      </c>
      <c r="M58" s="10">
        <f>IF(M33="JA",($C$19+$C$7)*(1+Kengetallen!$B$19)^M32,0)</f>
        <v>1525.2170510824062</v>
      </c>
      <c r="N58" s="10">
        <f>IF(N33="JA",($C$19+$C$7)*(1+Kengetallen!$B$19)^N32,0)</f>
        <v>1514.5405317248294</v>
      </c>
      <c r="O58" s="10">
        <f>IF(O33="JA",($C$19+$C$7)*(1+Kengetallen!$B$19)^O32,0)</f>
        <v>1503.9387480027556</v>
      </c>
      <c r="P58" s="10">
        <f>IF(P33="JA",($C$19+$C$7)*(1+Kengetallen!$B$19)^P32,0)</f>
        <v>1493.4111767667364</v>
      </c>
      <c r="Q58" s="10">
        <f>IF(Q33="JA",($C$19+$C$7)*(1+Kengetallen!$B$19)^Q32,0)</f>
        <v>1482.9572985293692</v>
      </c>
      <c r="R58" s="10">
        <f>IF(R33="JA",($C$19+$C$7)*(1+Kengetallen!$B$19)^R32,0)</f>
        <v>0</v>
      </c>
      <c r="S58" s="10">
        <f>IF(S33="JA",($C$19+$C$7)*(1+Kengetallen!$B$19)^S32,0)</f>
        <v>0</v>
      </c>
      <c r="T58" s="10">
        <f>IF(T33="JA",($C$19+$C$7)*(1+Kengetallen!$B$19)^T32,0)</f>
        <v>0</v>
      </c>
      <c r="U58" s="10">
        <f>IF(U33="JA",($C$19+$C$7)*(1+Kengetallen!$B$19)^U32,0)</f>
        <v>0</v>
      </c>
      <c r="V58" s="10">
        <f>IF(V33="JA",($C$19+$C$7)*(1+Kengetallen!$B$19)^V32,0)</f>
        <v>0</v>
      </c>
      <c r="W58" s="10">
        <f>IF(W33="JA",($C$19+$C$7)*(1+Kengetallen!$B$19)^W32,0)</f>
        <v>0</v>
      </c>
      <c r="X58" s="10">
        <f>IF(X33="JA",($C$19+$C$7)*(1+Kengetallen!$B$19)^X32,0)</f>
        <v>0</v>
      </c>
      <c r="Y58" s="10">
        <f>IF(Y33="JA",($C$19+$C$7)*(1+Kengetallen!$B$19)^Y32,0)</f>
        <v>0</v>
      </c>
      <c r="Z58" s="10">
        <f>IF(Z33="JA",($C$19+$C$7)*(1+Kengetallen!$B$19)^Z32,0)</f>
        <v>0</v>
      </c>
      <c r="AA58" s="10">
        <f>IF(AA33="JA",($C$19+$C$7)*(1+Kengetallen!$B$19)^AA32,0)</f>
        <v>0</v>
      </c>
      <c r="AB58" s="10">
        <f>IF(AB33="JA",($C$19+$C$7)*(1+Kengetallen!$B$19)^AB32,0)</f>
        <v>0</v>
      </c>
      <c r="AC58" s="10"/>
      <c r="AD58" s="10">
        <f t="shared" si="10"/>
        <v>23376.267235063176</v>
      </c>
    </row>
    <row r="59" spans="1:30" x14ac:dyDescent="0.25">
      <c r="A59" t="s">
        <v>56</v>
      </c>
      <c r="B59" s="10">
        <f t="shared" ref="B59:AB59" si="19">IF(B33="JA",B58*$C$16,0)</f>
        <v>0</v>
      </c>
      <c r="C59" s="10">
        <f t="shared" si="19"/>
        <v>654.48418723404257</v>
      </c>
      <c r="D59" s="10">
        <f t="shared" si="19"/>
        <v>649.90279792340425</v>
      </c>
      <c r="E59" s="10">
        <f t="shared" si="19"/>
        <v>645.35347833794049</v>
      </c>
      <c r="F59" s="10">
        <f t="shared" si="19"/>
        <v>640.83600398957481</v>
      </c>
      <c r="G59" s="10">
        <f t="shared" si="19"/>
        <v>636.35015196164784</v>
      </c>
      <c r="H59" s="10">
        <f t="shared" si="19"/>
        <v>631.89570089791619</v>
      </c>
      <c r="I59" s="10">
        <f t="shared" si="19"/>
        <v>627.47243099163074</v>
      </c>
      <c r="J59" s="10">
        <f t="shared" si="19"/>
        <v>623.08012397468929</v>
      </c>
      <c r="K59" s="10">
        <f t="shared" si="19"/>
        <v>618.71856310686644</v>
      </c>
      <c r="L59" s="10">
        <f t="shared" si="19"/>
        <v>614.38753316511838</v>
      </c>
      <c r="M59" s="10">
        <f t="shared" si="19"/>
        <v>610.08682043296255</v>
      </c>
      <c r="N59" s="10">
        <f t="shared" si="19"/>
        <v>605.81621268993183</v>
      </c>
      <c r="O59" s="10">
        <f t="shared" si="19"/>
        <v>601.57549920110228</v>
      </c>
      <c r="P59" s="10">
        <f t="shared" si="19"/>
        <v>597.36447070669453</v>
      </c>
      <c r="Q59" s="10">
        <f t="shared" si="19"/>
        <v>593.18291941174766</v>
      </c>
      <c r="R59" s="10">
        <f t="shared" si="19"/>
        <v>0</v>
      </c>
      <c r="S59" s="10">
        <f t="shared" si="19"/>
        <v>0</v>
      </c>
      <c r="T59" s="10">
        <f t="shared" si="19"/>
        <v>0</v>
      </c>
      <c r="U59" s="10">
        <f t="shared" si="19"/>
        <v>0</v>
      </c>
      <c r="V59" s="10">
        <f t="shared" si="19"/>
        <v>0</v>
      </c>
      <c r="W59" s="10">
        <f t="shared" si="19"/>
        <v>0</v>
      </c>
      <c r="X59" s="10">
        <f t="shared" si="19"/>
        <v>0</v>
      </c>
      <c r="Y59" s="10">
        <f t="shared" si="19"/>
        <v>0</v>
      </c>
      <c r="Z59" s="10">
        <f t="shared" si="19"/>
        <v>0</v>
      </c>
      <c r="AA59" s="10">
        <f t="shared" si="19"/>
        <v>0</v>
      </c>
      <c r="AB59" s="10">
        <f t="shared" si="19"/>
        <v>0</v>
      </c>
      <c r="AC59" s="10"/>
      <c r="AD59" s="10">
        <f t="shared" si="10"/>
        <v>9350.5068940252695</v>
      </c>
    </row>
    <row r="60" spans="1:30" x14ac:dyDescent="0.25">
      <c r="A60" t="s">
        <v>58</v>
      </c>
      <c r="B60" s="10">
        <f>IF(B33="JA",($C$2+B46-B59)*Prijzen!D62,0)</f>
        <v>0</v>
      </c>
      <c r="C60" s="10">
        <f>IF(C33="JA",($C$2+C46-C59)*Prijzen!E62,0)</f>
        <v>1915.6867159148937</v>
      </c>
      <c r="D60" s="10">
        <f>IF(D33="JA",($C$2+D46-D59)*Prijzen!F62,0)</f>
        <v>1918.6188050737023</v>
      </c>
      <c r="E60" s="10">
        <f>IF(E33="JA",($C$2+E46-E59)*Prijzen!G62,0)</f>
        <v>1651.3151613822181</v>
      </c>
      <c r="F60" s="10">
        <f>IF(F33="JA",($C$2+F46-F59)*Prijzen!H62,0)</f>
        <v>1383.1779913562852</v>
      </c>
      <c r="G60" s="10">
        <f>IF(G33="JA",($C$2+G46-G59)*Prijzen!I62,0)</f>
        <v>1114.215975689084</v>
      </c>
      <c r="H60" s="10">
        <f>IF(H33="JA",($C$2+H46-H59)*Prijzen!J62,0)</f>
        <v>844.43771438688157</v>
      </c>
      <c r="I60" s="10">
        <f>IF(I33="JA",($C$2+I46-I59)*Prijzen!K62,0)</f>
        <v>0</v>
      </c>
      <c r="J60" s="10">
        <f>IF(J33="JA",($C$2+J46-J59)*Prijzen!L62,0)</f>
        <v>0</v>
      </c>
      <c r="K60" s="10">
        <f>IF(K33="JA",($C$2+K46-K59)*Prijzen!M62,0)</f>
        <v>0</v>
      </c>
      <c r="L60" s="10">
        <f>IF(L33="JA",($C$2+L46-L59)*Prijzen!N62,0)</f>
        <v>0</v>
      </c>
      <c r="M60" s="10">
        <f>IF(M33="JA",($C$2+M46-M59)*Prijzen!O62,0)</f>
        <v>0</v>
      </c>
      <c r="N60" s="10">
        <f>IF(N33="JA",($C$2+N46-N59)*Prijzen!P62,0)</f>
        <v>0</v>
      </c>
      <c r="O60" s="10">
        <f>IF(O33="JA",($C$2+O46-O59)*Prijzen!Q62,0)</f>
        <v>0</v>
      </c>
      <c r="P60" s="10">
        <f>IF(P33="JA",($C$2+P46-P59)*Prijzen!R62,0)</f>
        <v>0</v>
      </c>
      <c r="Q60" s="10">
        <f>IF(Q33="JA",($C$2+Q46-Q59)*Prijzen!S62,0)</f>
        <v>0</v>
      </c>
      <c r="R60" s="10">
        <f>IF(R33="JA",($C$2+R46-R59)*Prijzen!T62,0)</f>
        <v>0</v>
      </c>
      <c r="S60" s="10">
        <f>IF(S33="JA",($C$2+S46-S59)*Prijzen!U62,0)</f>
        <v>0</v>
      </c>
      <c r="T60" s="10">
        <f>IF(T33="JA",($C$2+T46-T59)*Prijzen!V62,0)</f>
        <v>0</v>
      </c>
      <c r="U60" s="10">
        <f>IF(U33="JA",($C$2+U46-U59)*Prijzen!W62,0)</f>
        <v>0</v>
      </c>
      <c r="V60" s="10">
        <f>IF(V33="JA",($C$2+V46-V59)*Prijzen!X62,0)</f>
        <v>0</v>
      </c>
      <c r="W60" s="10">
        <f>IF(W33="JA",($C$2+W46-W59)*Prijzen!Y62,0)</f>
        <v>0</v>
      </c>
      <c r="X60" s="10">
        <f>IF(X33="JA",($C$2+X46-X59)*Prijzen!Z62,0)</f>
        <v>0</v>
      </c>
      <c r="Y60" s="10">
        <f>IF(Y33="JA",($C$2+Y46-Y59)*Prijzen!AA62,0)</f>
        <v>0</v>
      </c>
      <c r="Z60" s="10">
        <f>IF(Z33="JA",($C$2+Z46-Z59)*Prijzen!AB62,0)</f>
        <v>0</v>
      </c>
      <c r="AA60" s="10">
        <f>IF(AA33="JA",($C$2+AA46-AA59)*Prijzen!AC62,0)</f>
        <v>0</v>
      </c>
      <c r="AB60" s="10">
        <f>IF(AB33="JA",($C$2+AB46-AB59)*Prijzen!AD62,0)</f>
        <v>0</v>
      </c>
      <c r="AC60" s="10"/>
      <c r="AD60" s="10">
        <f t="shared" si="10"/>
        <v>8827.452363803066</v>
      </c>
    </row>
    <row r="61" spans="1:30" x14ac:dyDescent="0.25">
      <c r="A61" t="s">
        <v>55</v>
      </c>
      <c r="B61" s="10">
        <f t="shared" ref="B61:AB61" si="20">IF(B33="JA",MIN((B58-B59),B60),0)</f>
        <v>0</v>
      </c>
      <c r="C61" s="10">
        <f t="shared" si="20"/>
        <v>981.72628085106385</v>
      </c>
      <c r="D61" s="10">
        <f t="shared" si="20"/>
        <v>974.85419688510615</v>
      </c>
      <c r="E61" s="10">
        <f t="shared" si="20"/>
        <v>968.0302175069105</v>
      </c>
      <c r="F61" s="10">
        <f t="shared" si="20"/>
        <v>961.25400598436215</v>
      </c>
      <c r="G61" s="10">
        <f t="shared" si="20"/>
        <v>954.52522794247159</v>
      </c>
      <c r="H61" s="10">
        <f t="shared" si="20"/>
        <v>844.43771438688157</v>
      </c>
      <c r="I61" s="10">
        <f t="shared" si="20"/>
        <v>0</v>
      </c>
      <c r="J61" s="10">
        <f t="shared" si="20"/>
        <v>0</v>
      </c>
      <c r="K61" s="10">
        <f t="shared" si="20"/>
        <v>0</v>
      </c>
      <c r="L61" s="10">
        <f t="shared" si="20"/>
        <v>0</v>
      </c>
      <c r="M61" s="10">
        <f t="shared" si="20"/>
        <v>0</v>
      </c>
      <c r="N61" s="10">
        <f t="shared" si="20"/>
        <v>0</v>
      </c>
      <c r="O61" s="10">
        <f t="shared" si="20"/>
        <v>0</v>
      </c>
      <c r="P61" s="10">
        <f t="shared" si="20"/>
        <v>0</v>
      </c>
      <c r="Q61" s="10">
        <f t="shared" si="20"/>
        <v>0</v>
      </c>
      <c r="R61" s="10">
        <f t="shared" si="20"/>
        <v>0</v>
      </c>
      <c r="S61" s="10">
        <f t="shared" si="20"/>
        <v>0</v>
      </c>
      <c r="T61" s="10">
        <f t="shared" si="20"/>
        <v>0</v>
      </c>
      <c r="U61" s="10">
        <f t="shared" si="20"/>
        <v>0</v>
      </c>
      <c r="V61" s="10">
        <f t="shared" si="20"/>
        <v>0</v>
      </c>
      <c r="W61" s="10">
        <f t="shared" si="20"/>
        <v>0</v>
      </c>
      <c r="X61" s="10">
        <f t="shared" si="20"/>
        <v>0</v>
      </c>
      <c r="Y61" s="10">
        <f t="shared" si="20"/>
        <v>0</v>
      </c>
      <c r="Z61" s="10">
        <f t="shared" si="20"/>
        <v>0</v>
      </c>
      <c r="AA61" s="10">
        <f t="shared" si="20"/>
        <v>0</v>
      </c>
      <c r="AB61" s="10">
        <f t="shared" si="20"/>
        <v>0</v>
      </c>
      <c r="AC61" s="10"/>
      <c r="AD61" s="10">
        <f t="shared" si="10"/>
        <v>5684.8276435567959</v>
      </c>
    </row>
    <row r="62" spans="1:30" x14ac:dyDescent="0.25">
      <c r="A62" t="s">
        <v>57</v>
      </c>
      <c r="B62" s="10">
        <f t="shared" ref="B62:AB62" si="21">IF(B33="JA",B58-B59-B61,0)</f>
        <v>0</v>
      </c>
      <c r="C62" s="10">
        <f t="shared" si="21"/>
        <v>0</v>
      </c>
      <c r="D62" s="10">
        <f t="shared" si="21"/>
        <v>0</v>
      </c>
      <c r="E62" s="10">
        <f t="shared" si="21"/>
        <v>0</v>
      </c>
      <c r="F62" s="10">
        <f t="shared" si="21"/>
        <v>0</v>
      </c>
      <c r="G62" s="10">
        <f t="shared" si="21"/>
        <v>0</v>
      </c>
      <c r="H62" s="10">
        <f t="shared" si="21"/>
        <v>103.4058369599926</v>
      </c>
      <c r="I62" s="10">
        <f t="shared" si="21"/>
        <v>941.208646487446</v>
      </c>
      <c r="J62" s="10">
        <f t="shared" si="21"/>
        <v>934.62018596203393</v>
      </c>
      <c r="K62" s="10">
        <f t="shared" si="21"/>
        <v>928.07784466029966</v>
      </c>
      <c r="L62" s="10">
        <f t="shared" si="21"/>
        <v>921.58129974767758</v>
      </c>
      <c r="M62" s="10">
        <f t="shared" si="21"/>
        <v>915.13023064944366</v>
      </c>
      <c r="N62" s="10">
        <f t="shared" si="21"/>
        <v>908.72431903489758</v>
      </c>
      <c r="O62" s="10">
        <f t="shared" si="21"/>
        <v>902.3632488016533</v>
      </c>
      <c r="P62" s="10">
        <f t="shared" si="21"/>
        <v>896.04670606004186</v>
      </c>
      <c r="Q62" s="10">
        <f t="shared" si="21"/>
        <v>889.77437911762149</v>
      </c>
      <c r="R62" s="10">
        <f t="shared" si="21"/>
        <v>0</v>
      </c>
      <c r="S62" s="10">
        <f t="shared" si="21"/>
        <v>0</v>
      </c>
      <c r="T62" s="10">
        <f t="shared" si="21"/>
        <v>0</v>
      </c>
      <c r="U62" s="10">
        <f t="shared" si="21"/>
        <v>0</v>
      </c>
      <c r="V62" s="10">
        <f t="shared" si="21"/>
        <v>0</v>
      </c>
      <c r="W62" s="10">
        <f t="shared" si="21"/>
        <v>0</v>
      </c>
      <c r="X62" s="10">
        <f t="shared" si="21"/>
        <v>0</v>
      </c>
      <c r="Y62" s="10">
        <f t="shared" si="21"/>
        <v>0</v>
      </c>
      <c r="Z62" s="10">
        <f t="shared" si="21"/>
        <v>0</v>
      </c>
      <c r="AA62" s="10">
        <f t="shared" si="21"/>
        <v>0</v>
      </c>
      <c r="AB62" s="10">
        <f t="shared" si="21"/>
        <v>0</v>
      </c>
      <c r="AC62" s="10"/>
      <c r="AD62" s="10">
        <f t="shared" si="10"/>
        <v>8340.9326974811083</v>
      </c>
    </row>
    <row r="63" spans="1:30" x14ac:dyDescent="0.25">
      <c r="A63" t="s">
        <v>62</v>
      </c>
      <c r="B63" s="16">
        <f t="shared" ref="B63:AB63" si="22">IF(B33="JA",B64/B58,0)</f>
        <v>0</v>
      </c>
      <c r="C63" s="16">
        <f t="shared" si="22"/>
        <v>0.275890183279209</v>
      </c>
      <c r="D63" s="16">
        <f t="shared" si="22"/>
        <v>0.24897066227602277</v>
      </c>
      <c r="E63" s="16">
        <f t="shared" si="22"/>
        <v>0.23621624314417644</v>
      </c>
      <c r="F63" s="16">
        <f t="shared" si="22"/>
        <v>0.22470481824054794</v>
      </c>
      <c r="G63" s="16">
        <f t="shared" si="22"/>
        <v>0.22722462021985301</v>
      </c>
      <c r="H63" s="16">
        <f t="shared" si="22"/>
        <v>0.22587945796582798</v>
      </c>
      <c r="I63" s="16">
        <f t="shared" si="22"/>
        <v>0.15943753517601439</v>
      </c>
      <c r="J63" s="16">
        <f t="shared" si="22"/>
        <v>0.16024283882442639</v>
      </c>
      <c r="K63" s="16">
        <f t="shared" si="22"/>
        <v>0.16106424854580667</v>
      </c>
      <c r="L63" s="16">
        <f t="shared" si="22"/>
        <v>0.1619020864616145</v>
      </c>
      <c r="M63" s="16">
        <f t="shared" si="22"/>
        <v>0.16275668113573852</v>
      </c>
      <c r="N63" s="16">
        <f t="shared" si="22"/>
        <v>0.16362836770334505</v>
      </c>
      <c r="O63" s="16">
        <f t="shared" si="22"/>
        <v>0.16451748800230365</v>
      </c>
      <c r="P63" s="16">
        <f t="shared" si="22"/>
        <v>0.16542439070724146</v>
      </c>
      <c r="Q63" s="16">
        <f t="shared" si="22"/>
        <v>0.16634943146627801</v>
      </c>
      <c r="R63" s="16">
        <f t="shared" si="22"/>
        <v>0</v>
      </c>
      <c r="S63" s="16">
        <f t="shared" si="22"/>
        <v>0</v>
      </c>
      <c r="T63" s="16">
        <f t="shared" si="22"/>
        <v>0</v>
      </c>
      <c r="U63" s="16">
        <f t="shared" si="22"/>
        <v>0</v>
      </c>
      <c r="V63" s="16">
        <f t="shared" si="22"/>
        <v>0</v>
      </c>
      <c r="W63" s="16">
        <f t="shared" si="22"/>
        <v>0</v>
      </c>
      <c r="X63" s="16">
        <f t="shared" si="22"/>
        <v>0</v>
      </c>
      <c r="Y63" s="16">
        <f t="shared" si="22"/>
        <v>0</v>
      </c>
      <c r="Z63" s="16">
        <f t="shared" si="22"/>
        <v>0</v>
      </c>
      <c r="AA63" s="16">
        <f t="shared" si="22"/>
        <v>0</v>
      </c>
      <c r="AB63" s="16">
        <f t="shared" si="22"/>
        <v>0</v>
      </c>
      <c r="AC63" s="16"/>
      <c r="AD63" s="16">
        <f t="shared" si="10"/>
        <v>2.9042090531484055</v>
      </c>
    </row>
    <row r="64" spans="1:30" x14ac:dyDescent="0.25">
      <c r="A64" t="s">
        <v>59</v>
      </c>
      <c r="B64" s="17">
        <f>IF(B33="JA",B59*B49+B61*B49+B62*VLOOKUP($C$8,Prijzen!$B$65:$T$68,'Business case'!B31,FALSE),0)</f>
        <v>0</v>
      </c>
      <c r="C64" s="17">
        <f>IF(C33="JA",C59*C49+C61*C49+C62*VLOOKUP($C$8,Prijzen!$B$65:$T$68,'Business case'!C31,FALSE),0)</f>
        <v>451.41440592336039</v>
      </c>
      <c r="D64" s="17">
        <f>IF(D33="JA",D59*D49+D61*D49+D62*VLOOKUP($C$8,Prijzen!$B$65:$T$68,'Business case'!D31,FALSE),0)</f>
        <v>404.51682503507533</v>
      </c>
      <c r="E64" s="17">
        <f>IF(E33="JA",E59*E49+E61*E49+E62*VLOOKUP($C$8,Prijzen!$B$65:$T$68,'Business case'!E31,FALSE),0)</f>
        <v>381.10743538253735</v>
      </c>
      <c r="F64" s="17">
        <f>IF(F33="JA",F59*F49+F61*F49+F62*VLOOKUP($C$8,Prijzen!$B$65:$T$68,'Business case'!F31,FALSE),0)</f>
        <v>359.99734449619115</v>
      </c>
      <c r="G64" s="17">
        <f>IF(G33="JA",G59*G49+G61*G49+G62*VLOOKUP($C$8,Prijzen!$B$65:$T$68,'Business case'!G31,FALSE),0)</f>
        <v>361.4860540158279</v>
      </c>
      <c r="H64" s="17">
        <f>IF(H33="JA",H59*H49+H61*H49+H62*VLOOKUP($C$8,Prijzen!$B$65:$T$68,'Business case'!H31,FALSE),0)</f>
        <v>356.83064602439566</v>
      </c>
      <c r="I64" s="17">
        <f>IF(I33="JA",I59*I49+I61*I49+I62*VLOOKUP($C$8,Prijzen!$B$65:$T$68,'Business case'!I31,FALSE),0)</f>
        <v>250.10664447051843</v>
      </c>
      <c r="J64" s="17">
        <f>IF(J33="JA",J59*J49+J61*J49+J62*VLOOKUP($C$8,Prijzen!$B$65:$T$68,'Business case'!J31,FALSE),0)</f>
        <v>249.61031970194938</v>
      </c>
      <c r="K64" s="17">
        <f>IF(K33="JA",K59*K49+K61*K49+K62*VLOOKUP($C$8,Prijzen!$B$65:$T$68,'Business case'!K31,FALSE),0)</f>
        <v>249.13360107037175</v>
      </c>
      <c r="L64" s="17">
        <f>IF(L33="JA",L59*L49+L61*L49+L62*VLOOKUP($C$8,Prijzen!$B$65:$T$68,'Business case'!L31,FALSE),0)</f>
        <v>248.67655878859262</v>
      </c>
      <c r="M64" s="17">
        <f>IF(M33="JA",M59*M49+M61*M49+M62*VLOOKUP($C$8,Prijzen!$B$65:$T$68,'Business case'!M31,FALSE),0)</f>
        <v>248.2392652458106</v>
      </c>
      <c r="N64" s="17">
        <f>IF(N33="JA",N59*N49+N61*N49+N62*VLOOKUP($C$8,Prijzen!$B$65:$T$68,'Business case'!N31,FALSE),0)</f>
        <v>247.8217950266901</v>
      </c>
      <c r="O64" s="17">
        <f>IF(O33="JA",O59*O49+O61*O49+O62*VLOOKUP($C$8,Prijzen!$B$65:$T$68,'Business case'!O31,FALSE),0)</f>
        <v>247.42422493074292</v>
      </c>
      <c r="P64" s="17">
        <f>IF(P33="JA",P59*P49+P61*P49+P62*VLOOKUP($C$8,Prijzen!$B$65:$T$68,'Business case'!P31,FALSE),0)</f>
        <v>247.04663399202184</v>
      </c>
      <c r="Q64" s="17">
        <f>IF(Q33="JA",Q59*Q49+Q61*Q49+Q62*VLOOKUP($C$8,Prijzen!$B$65:$T$68,'Business case'!Q31,FALSE),0)</f>
        <v>246.68910349912807</v>
      </c>
      <c r="R64" s="17">
        <f>IF(R33="JA",R59*R49+R61*R49+R62*VLOOKUP($C$8,Prijzen!$B$65:$T$68,'Business case'!R31,FALSE),0)</f>
        <v>0</v>
      </c>
      <c r="S64" s="17">
        <f>IF(S33="JA",S59*S49+S61*S49+S62*VLOOKUP($C$8,Prijzen!$B$65:$T$68,'Business case'!S31,FALSE),0)</f>
        <v>0</v>
      </c>
      <c r="T64" s="17">
        <f>IF(T33="JA",T59*T49+T61*T49+T62*VLOOKUP($C$8,Prijzen!$B$65:$T$68,'Business case'!T31,FALSE),0)</f>
        <v>0</v>
      </c>
      <c r="U64" s="17">
        <f>IF(U33="JA",U59*U49+U61*U49+U62*VLOOKUP($C$8,Prijzen!$B$65:$T$68,'Business case'!U31,FALSE),0)</f>
        <v>0</v>
      </c>
      <c r="V64" s="17">
        <f>IF(V33="JA",V59*V49+V61*V49+V62*VLOOKUP($C$8,Prijzen!$B$65:$T$68,'Business case'!V31,FALSE),0)</f>
        <v>0</v>
      </c>
      <c r="W64" s="17">
        <f>IF(W33="JA",W59*W49+W61*W49+W62*VLOOKUP($C$8,Prijzen!$B$65:$T$68,'Business case'!W31,FALSE),0)</f>
        <v>0</v>
      </c>
      <c r="X64" s="17">
        <f>IF(X33="JA",X59*X49+X61*X49+X62*VLOOKUP($C$8,Prijzen!$B$65:$T$68,'Business case'!X31,FALSE),0)</f>
        <v>0</v>
      </c>
      <c r="Y64" s="17">
        <f>IF(Y33="JA",Y59*Y49+Y61*Y49+Y62*VLOOKUP($C$8,Prijzen!$B$65:$T$68,'Business case'!Y31,FALSE),0)</f>
        <v>0</v>
      </c>
      <c r="Z64" s="17">
        <f>IF(Z33="JA",Z59*Z49+Z61*Z49+Z62*VLOOKUP($C$8,Prijzen!$B$65:$T$68,'Business case'!Z31,FALSE),0)</f>
        <v>0</v>
      </c>
      <c r="AA64" s="17">
        <f>IF(AA33="JA",AA59*AA49+AA61*AA49+AA62*VLOOKUP($C$8,Prijzen!$B$65:$T$68,'Business case'!AA31,FALSE),0)</f>
        <v>0</v>
      </c>
      <c r="AB64" s="17">
        <f>IF(AB33="JA",AB59*AB49+AB61*AB49+AB62*VLOOKUP($C$8,Prijzen!$B$65:$T$68,'Business case'!AB31,FALSE),0)</f>
        <v>0</v>
      </c>
      <c r="AC64" s="17"/>
      <c r="AD64" s="17">
        <f t="shared" si="10"/>
        <v>4550.1008576032127</v>
      </c>
    </row>
    <row r="65" spans="1:30" x14ac:dyDescent="0.25">
      <c r="A65" t="s">
        <v>52</v>
      </c>
      <c r="B65" s="8">
        <f>IF(B33="JA",-PMT($C$17,Kengetallen!$B$16,Investering!$D$30,0,1),0)</f>
        <v>0</v>
      </c>
      <c r="C65" s="8">
        <f>IF(C33="JA",-PMT($C$17,Kengetallen!$B$16,Investering!$D$30,0,1),0)</f>
        <v>184.41719847946851</v>
      </c>
      <c r="D65" s="8">
        <f>IF(D33="JA",-PMT($C$17,Kengetallen!$B$16,Investering!$D$30,0,1),0)</f>
        <v>184.41719847946851</v>
      </c>
      <c r="E65" s="8">
        <f>IF(E33="JA",-PMT($C$17,Kengetallen!$B$16,Investering!$D$30,0,1),0)</f>
        <v>184.41719847946851</v>
      </c>
      <c r="F65" s="8">
        <f>IF(F33="JA",-PMT($C$17,Kengetallen!$B$16,Investering!$D$30,0,1),0)</f>
        <v>184.41719847946851</v>
      </c>
      <c r="G65" s="8">
        <f>IF(G33="JA",-PMT($C$17,Kengetallen!$B$16,Investering!$D$30,0,1),0)</f>
        <v>184.41719847946851</v>
      </c>
      <c r="H65" s="8">
        <f>IF(H33="JA",-PMT($C$17,Kengetallen!$B$16,Investering!$D$30,0,1),0)</f>
        <v>184.41719847946851</v>
      </c>
      <c r="I65" s="8">
        <f>IF(I33="JA",-PMT($C$17,Kengetallen!$B$16,Investering!$D$30,0,1),0)</f>
        <v>184.41719847946851</v>
      </c>
      <c r="J65" s="8">
        <f>IF(J33="JA",-PMT($C$17,Kengetallen!$B$16,Investering!$D$30,0,1),0)</f>
        <v>184.41719847946851</v>
      </c>
      <c r="K65" s="8">
        <f>IF(K33="JA",-PMT($C$17,Kengetallen!$B$16,Investering!$D$30,0,1),0)</f>
        <v>184.41719847946851</v>
      </c>
      <c r="L65" s="8">
        <f>IF(L33="JA",-PMT($C$17,Kengetallen!$B$16,Investering!$D$30,0,1),0)</f>
        <v>184.41719847946851</v>
      </c>
      <c r="M65" s="8">
        <f>IF(M33="JA",-PMT($C$17,Kengetallen!$B$16,Investering!$D$30,0,1),0)</f>
        <v>184.41719847946851</v>
      </c>
      <c r="N65" s="8">
        <f>IF(N33="JA",-PMT($C$17,Kengetallen!$B$16,Investering!$D$30,0,1),0)</f>
        <v>184.41719847946851</v>
      </c>
      <c r="O65" s="8">
        <f>IF(O33="JA",-PMT($C$17,Kengetallen!$B$16,Investering!$D$30,0,1),0)</f>
        <v>184.41719847946851</v>
      </c>
      <c r="P65" s="8">
        <f>IF(P33="JA",-PMT($C$17,Kengetallen!$B$16,Investering!$D$30,0,1),0)</f>
        <v>184.41719847946851</v>
      </c>
      <c r="Q65" s="8">
        <f>IF(Q33="JA",-PMT($C$17,Kengetallen!$B$16,Investering!$D$30,0,1),0)</f>
        <v>184.41719847946851</v>
      </c>
      <c r="R65" s="8">
        <f>IF(R33="JA",-PMT($C$17,Kengetallen!$B$16,Investering!$D$30,0,1),0)</f>
        <v>0</v>
      </c>
      <c r="S65" s="8">
        <f>IF(S33="JA",-PMT($C$17,Kengetallen!$B$16,Investering!$D$30,0,1),0)</f>
        <v>0</v>
      </c>
      <c r="T65" s="8">
        <f>IF(T33="JA",-PMT($C$17,Kengetallen!$B$16,Investering!$D$30,0,1),0)</f>
        <v>0</v>
      </c>
      <c r="U65" s="8">
        <f>IF(U33="JA",-PMT($C$17,Kengetallen!$B$16,Investering!$D$30,0,1),0)</f>
        <v>0</v>
      </c>
      <c r="V65" s="8">
        <f>IF(V33="JA",-PMT($C$17,Kengetallen!$B$16,Investering!$D$30,0,1),0)</f>
        <v>0</v>
      </c>
      <c r="W65" s="8">
        <f>IF(W33="JA",-PMT($C$17,Kengetallen!$B$16,Investering!$D$30,0,1),0)</f>
        <v>0</v>
      </c>
      <c r="X65" s="8">
        <f>IF(X33="JA",-PMT($C$17,Kengetallen!$B$16,Investering!$D$30,0,1),0)</f>
        <v>0</v>
      </c>
      <c r="Y65" s="8">
        <f>IF(Y33="JA",-PMT($C$17,Kengetallen!$B$16,Investering!$D$30,0,1),0)</f>
        <v>0</v>
      </c>
      <c r="Z65" s="8">
        <f>IF(Z33="JA",-PMT($C$17,Kengetallen!$B$16,Investering!$D$30,0,1),0)</f>
        <v>0</v>
      </c>
      <c r="AA65" s="8">
        <f>IF(AA33="JA",-PMT($C$17,Kengetallen!$B$16,Investering!$D$30,0,1),0)</f>
        <v>0</v>
      </c>
      <c r="AB65" s="8">
        <f>IF(AB33="JA",-PMT($C$17,Kengetallen!$B$16,Investering!$D$30,0,1),0)</f>
        <v>0</v>
      </c>
      <c r="AC65" s="8"/>
      <c r="AD65" s="8">
        <f t="shared" si="10"/>
        <v>2766.2579771920268</v>
      </c>
    </row>
    <row r="66" spans="1:30" x14ac:dyDescent="0.25">
      <c r="A66" t="s">
        <v>95</v>
      </c>
      <c r="B66" s="8">
        <f>IF(B33="JA",IF($C$19&gt;0,Kengetallen!$B$20*(1+Kengetallen!$B$2)^'Business case'!B$32,0),0)</f>
        <v>0</v>
      </c>
      <c r="C66" s="8">
        <f>IF(C33="JA",IF($C$19&gt;0,Kengetallen!$B$20*(1+Kengetallen!$B$2)^'Business case'!C$32,0),0)</f>
        <v>25.5</v>
      </c>
      <c r="D66" s="8">
        <f>IF(D33="JA",IF($C$19&gt;0,Kengetallen!$B$20*(1+Kengetallen!$B$2)^'Business case'!D$32,0),0)</f>
        <v>26.009999999999998</v>
      </c>
      <c r="E66" s="8">
        <f>IF(E33="JA",IF($C$19&gt;0,Kengetallen!$B$20*(1+Kengetallen!$B$2)^'Business case'!E$32,0),0)</f>
        <v>26.530199999999997</v>
      </c>
      <c r="F66" s="8">
        <f>IF(F33="JA",IF($C$19&gt;0,Kengetallen!$B$20*(1+Kengetallen!$B$2)^'Business case'!F$32,0),0)</f>
        <v>27.060804000000001</v>
      </c>
      <c r="G66" s="8">
        <f>IF(G33="JA",IF($C$19&gt;0,Kengetallen!$B$20*(1+Kengetallen!$B$2)^'Business case'!G$32,0),0)</f>
        <v>27.602020079999999</v>
      </c>
      <c r="H66" s="8">
        <f>IF(H33="JA",IF($C$19&gt;0,Kengetallen!$B$20*(1+Kengetallen!$B$2)^'Business case'!H$32,0),0)</f>
        <v>28.154060481600002</v>
      </c>
      <c r="I66" s="8">
        <f>IF(I33="JA",IF($C$19&gt;0,Kengetallen!$B$20*(1+Kengetallen!$B$2)^'Business case'!I$32,0),0)</f>
        <v>28.717141691231994</v>
      </c>
      <c r="J66" s="8">
        <f>IF(J33="JA",IF($C$19&gt;0,Kengetallen!$B$20*(1+Kengetallen!$B$2)^'Business case'!J$32,0),0)</f>
        <v>29.291484525056639</v>
      </c>
      <c r="K66" s="8">
        <f>IF(K33="JA",IF($C$19&gt;0,Kengetallen!$B$20*(1+Kengetallen!$B$2)^'Business case'!K$32,0),0)</f>
        <v>29.877314215557771</v>
      </c>
      <c r="L66" s="8">
        <f>IF(L33="JA",IF($C$19&gt;0,Kengetallen!$B$20*(1+Kengetallen!$B$2)^'Business case'!L$32,0),0)</f>
        <v>30.474860499868928</v>
      </c>
      <c r="M66" s="8">
        <f>IF(M33="JA",IF($C$19&gt;0,Kengetallen!$B$20*(1+Kengetallen!$B$2)^'Business case'!M$32,0),0)</f>
        <v>31.0843577098663</v>
      </c>
      <c r="N66" s="8">
        <f>IF(N33="JA",IF($C$19&gt;0,Kengetallen!$B$20*(1+Kengetallen!$B$2)^'Business case'!N$32,0),0)</f>
        <v>31.706044864063632</v>
      </c>
      <c r="O66" s="8">
        <f>IF(O33="JA",IF($C$19&gt;0,Kengetallen!$B$20*(1+Kengetallen!$B$2)^'Business case'!O$32,0),0)</f>
        <v>32.340165761344899</v>
      </c>
      <c r="P66" s="8">
        <f>IF(P33="JA",IF($C$19&gt;0,Kengetallen!$B$20*(1+Kengetallen!$B$2)^'Business case'!P$32,0),0)</f>
        <v>32.986969076571803</v>
      </c>
      <c r="Q66" s="8">
        <f>IF(Q33="JA",IF($C$19&gt;0,Kengetallen!$B$20*(1+Kengetallen!$B$2)^'Business case'!Q$32,0),0)</f>
        <v>33.646708458103234</v>
      </c>
      <c r="R66" s="8">
        <f>IF(R33="JA",IF($C$19&gt;0,Kengetallen!$B$20*(1+Kengetallen!$B$2)^'Business case'!R$32,0),0)</f>
        <v>0</v>
      </c>
      <c r="S66" s="8">
        <f>IF(S33="JA",IF($C$19&gt;0,Kengetallen!$B$20*(1+Kengetallen!$B$2)^'Business case'!S$32,0),0)</f>
        <v>0</v>
      </c>
      <c r="T66" s="8">
        <f>IF(T33="JA",IF($C$19&gt;0,Kengetallen!$B$20*(1+Kengetallen!$B$2)^'Business case'!T$32,0),0)</f>
        <v>0</v>
      </c>
      <c r="U66" s="8">
        <f>IF(U33="JA",IF($C$19&gt;0,Kengetallen!$B$20*(1+Kengetallen!$B$2)^'Business case'!U$32,0),0)</f>
        <v>0</v>
      </c>
      <c r="V66" s="8">
        <f>IF(V33="JA",IF($C$19&gt;0,Kengetallen!$B$20*(1+Kengetallen!$B$2)^'Business case'!V$32,0),0)</f>
        <v>0</v>
      </c>
      <c r="W66" s="8">
        <f>IF(W33="JA",IF($C$19&gt;0,Kengetallen!$B$20*(1+Kengetallen!$B$2)^'Business case'!W$32,0),0)</f>
        <v>0</v>
      </c>
      <c r="X66" s="8">
        <f>IF(X33="JA",IF($C$19&gt;0,Kengetallen!$B$20*(1+Kengetallen!$B$2)^'Business case'!X$32,0),0)</f>
        <v>0</v>
      </c>
      <c r="Y66" s="8">
        <f>IF(Y33="JA",IF($C$19&gt;0,Kengetallen!$B$20*(1+Kengetallen!$B$2)^'Business case'!Y$32,0),0)</f>
        <v>0</v>
      </c>
      <c r="Z66" s="8">
        <f>IF(Z33="JA",IF($C$19&gt;0,Kengetallen!$B$20*(1+Kengetallen!$B$2)^'Business case'!Z$32,0),0)</f>
        <v>0</v>
      </c>
      <c r="AA66" s="8">
        <f>IF(AA33="JA",IF($C$19&gt;0,Kengetallen!$B$20*(1+Kengetallen!$B$2)^'Business case'!AA$32,0),0)</f>
        <v>0</v>
      </c>
      <c r="AB66" s="8">
        <f>IF(AB33="JA",IF($C$19&gt;0,Kengetallen!$B$20*(1+Kengetallen!$B$2)^'Business case'!AB$32,0),0)</f>
        <v>0</v>
      </c>
      <c r="AC66" s="8"/>
      <c r="AD66" s="8">
        <f t="shared" si="10"/>
        <v>440.98213136326524</v>
      </c>
    </row>
    <row r="67" spans="1:30" x14ac:dyDescent="0.25">
      <c r="A67" s="3" t="s">
        <v>41</v>
      </c>
      <c r="B67" s="14">
        <f t="shared" ref="B67:R67" si="23">SUM(B51:B57)-B64+B65+B66</f>
        <v>0</v>
      </c>
      <c r="C67" s="14">
        <f t="shared" si="23"/>
        <v>1910.7977460252141</v>
      </c>
      <c r="D67" s="14">
        <f t="shared" si="23"/>
        <v>1916.3988293694408</v>
      </c>
      <c r="E67" s="14">
        <f t="shared" si="23"/>
        <v>1921.9133927401333</v>
      </c>
      <c r="F67" s="14">
        <f t="shared" si="23"/>
        <v>1927.2392184725097</v>
      </c>
      <c r="G67" s="14">
        <f t="shared" si="23"/>
        <v>1933.1497957410709</v>
      </c>
      <c r="H67" s="14">
        <f t="shared" si="23"/>
        <v>1952.4665850671927</v>
      </c>
      <c r="I67" s="14">
        <f t="shared" si="23"/>
        <v>2065.8213650630305</v>
      </c>
      <c r="J67" s="14">
        <f t="shared" si="23"/>
        <v>2073.0810838423995</v>
      </c>
      <c r="K67" s="14">
        <f t="shared" si="23"/>
        <v>2080.4564643649933</v>
      </c>
      <c r="L67" s="14">
        <f t="shared" si="23"/>
        <v>2087.9501417756087</v>
      </c>
      <c r="M67" s="14">
        <f t="shared" si="23"/>
        <v>2095.5648031498035</v>
      </c>
      <c r="N67" s="14">
        <f t="shared" si="23"/>
        <v>2103.3031885569658</v>
      </c>
      <c r="O67" s="14">
        <f t="shared" si="23"/>
        <v>2111.168092144715</v>
      </c>
      <c r="P67" s="14">
        <f t="shared" si="23"/>
        <v>2119.1623632450737</v>
      </c>
      <c r="Q67" s="14">
        <f t="shared" si="23"/>
        <v>2127.2889075028384</v>
      </c>
      <c r="R67" s="14">
        <f t="shared" si="23"/>
        <v>0</v>
      </c>
      <c r="S67" s="14">
        <f t="shared" ref="S67:AB67" si="24">SUM(S51:S57)-S64+S65+S66</f>
        <v>0</v>
      </c>
      <c r="T67" s="14">
        <f t="shared" si="24"/>
        <v>0</v>
      </c>
      <c r="U67" s="14">
        <f t="shared" si="24"/>
        <v>0</v>
      </c>
      <c r="V67" s="14">
        <f t="shared" si="24"/>
        <v>0</v>
      </c>
      <c r="W67" s="14">
        <f t="shared" si="24"/>
        <v>0</v>
      </c>
      <c r="X67" s="14">
        <f t="shared" si="24"/>
        <v>0</v>
      </c>
      <c r="Y67" s="14">
        <f t="shared" si="24"/>
        <v>0</v>
      </c>
      <c r="Z67" s="14">
        <f t="shared" si="24"/>
        <v>0</v>
      </c>
      <c r="AA67" s="14">
        <f t="shared" si="24"/>
        <v>0</v>
      </c>
      <c r="AB67" s="14">
        <f t="shared" si="24"/>
        <v>0</v>
      </c>
      <c r="AC67" s="14"/>
      <c r="AD67" s="14">
        <f t="shared" si="10"/>
        <v>30425.761977060993</v>
      </c>
    </row>
    <row r="68" spans="1:30" x14ac:dyDescent="0.25">
      <c r="A68" t="s">
        <v>101</v>
      </c>
      <c r="B68" s="8">
        <f t="shared" ref="B68:R68" si="25">B52+B57-B64+B66</f>
        <v>0</v>
      </c>
      <c r="C68" s="8">
        <f t="shared" si="25"/>
        <v>156.18217607398128</v>
      </c>
      <c r="D68" s="8">
        <f t="shared" si="25"/>
        <v>161.78325941820782</v>
      </c>
      <c r="E68" s="8">
        <f t="shared" si="25"/>
        <v>167.2978227889009</v>
      </c>
      <c r="F68" s="8">
        <f t="shared" si="25"/>
        <v>172.62364852127686</v>
      </c>
      <c r="G68" s="8">
        <f t="shared" si="25"/>
        <v>178.53422578983793</v>
      </c>
      <c r="H68" s="8">
        <f t="shared" si="25"/>
        <v>197.85101511595965</v>
      </c>
      <c r="I68" s="8">
        <f t="shared" si="25"/>
        <v>311.20579511179767</v>
      </c>
      <c r="J68" s="8">
        <f t="shared" si="25"/>
        <v>318.46551389116672</v>
      </c>
      <c r="K68" s="8">
        <f t="shared" si="25"/>
        <v>325.84089441376034</v>
      </c>
      <c r="L68" s="8">
        <f t="shared" si="25"/>
        <v>333.3345718243757</v>
      </c>
      <c r="M68" s="8">
        <f t="shared" si="25"/>
        <v>340.94923319857082</v>
      </c>
      <c r="N68" s="8">
        <f t="shared" si="25"/>
        <v>348.6876186057325</v>
      </c>
      <c r="O68" s="8">
        <f t="shared" si="25"/>
        <v>356.55252219348182</v>
      </c>
      <c r="P68" s="8">
        <f t="shared" si="25"/>
        <v>364.54679329384106</v>
      </c>
      <c r="Q68" s="8">
        <f t="shared" si="25"/>
        <v>372.67333755160564</v>
      </c>
      <c r="R68" s="8">
        <f t="shared" si="25"/>
        <v>0</v>
      </c>
      <c r="S68" s="8">
        <f t="shared" ref="S68:AB68" si="26">S52+S57-S64+S66</f>
        <v>0</v>
      </c>
      <c r="T68" s="8">
        <f t="shared" si="26"/>
        <v>0</v>
      </c>
      <c r="U68" s="8">
        <f t="shared" si="26"/>
        <v>0</v>
      </c>
      <c r="V68" s="8">
        <f t="shared" si="26"/>
        <v>0</v>
      </c>
      <c r="W68" s="8">
        <f t="shared" si="26"/>
        <v>0</v>
      </c>
      <c r="X68" s="8">
        <f t="shared" si="26"/>
        <v>0</v>
      </c>
      <c r="Y68" s="8">
        <f t="shared" si="26"/>
        <v>0</v>
      </c>
      <c r="Z68" s="8">
        <f t="shared" si="26"/>
        <v>0</v>
      </c>
      <c r="AA68" s="8">
        <f t="shared" si="26"/>
        <v>0</v>
      </c>
      <c r="AB68" s="8">
        <f t="shared" si="26"/>
        <v>0</v>
      </c>
      <c r="AC68" s="8"/>
      <c r="AD68" s="8"/>
    </row>
    <row r="69" spans="1:30" x14ac:dyDescent="0.25">
      <c r="A69" s="3" t="s">
        <v>9</v>
      </c>
      <c r="B69" s="14">
        <f t="shared" ref="B69:R69" si="27">IFERROR(B41-B67,"")</f>
        <v>0</v>
      </c>
      <c r="C69" s="14">
        <f t="shared" si="27"/>
        <v>-90.253547039698333</v>
      </c>
      <c r="D69" s="14">
        <f t="shared" si="27"/>
        <v>-109.81658430662196</v>
      </c>
      <c r="E69" s="14">
        <f t="shared" si="27"/>
        <v>-122.21627345262118</v>
      </c>
      <c r="F69" s="14">
        <f t="shared" si="27"/>
        <v>-108.88414659440627</v>
      </c>
      <c r="G69" s="14">
        <f t="shared" si="27"/>
        <v>-60.679055203774624</v>
      </c>
      <c r="H69" s="14">
        <f t="shared" si="27"/>
        <v>-38.458530338883065</v>
      </c>
      <c r="I69" s="14">
        <f t="shared" si="27"/>
        <v>-124.98447541437281</v>
      </c>
      <c r="J69" s="14">
        <f t="shared" si="27"/>
        <v>-104.87878257498642</v>
      </c>
      <c r="K69" s="14">
        <f t="shared" si="27"/>
        <v>-84.341443246450581</v>
      </c>
      <c r="L69" s="14">
        <f t="shared" si="27"/>
        <v>-63.364146408912802</v>
      </c>
      <c r="M69" s="14">
        <f t="shared" si="27"/>
        <v>-41.938414049991934</v>
      </c>
      <c r="N69" s="14">
        <f t="shared" si="27"/>
        <v>-20.055597849376227</v>
      </c>
      <c r="O69" s="14">
        <f t="shared" si="27"/>
        <v>2.2931242028084853</v>
      </c>
      <c r="P69" s="14">
        <f t="shared" si="27"/>
        <v>25.116751255181953</v>
      </c>
      <c r="Q69" s="14">
        <f t="shared" si="27"/>
        <v>48.424463113204638</v>
      </c>
      <c r="R69" s="14">
        <f t="shared" si="27"/>
        <v>0</v>
      </c>
      <c r="S69" s="14">
        <f t="shared" ref="S69:AB69" si="28">IFERROR(S41-S67,"")</f>
        <v>0</v>
      </c>
      <c r="T69" s="14">
        <f t="shared" si="28"/>
        <v>0</v>
      </c>
      <c r="U69" s="14">
        <f t="shared" si="28"/>
        <v>0</v>
      </c>
      <c r="V69" s="14">
        <f t="shared" si="28"/>
        <v>0</v>
      </c>
      <c r="W69" s="14">
        <f t="shared" si="28"/>
        <v>0</v>
      </c>
      <c r="X69" s="14">
        <f t="shared" si="28"/>
        <v>0</v>
      </c>
      <c r="Y69" s="14">
        <f t="shared" si="28"/>
        <v>0</v>
      </c>
      <c r="Z69" s="14">
        <f t="shared" si="28"/>
        <v>0</v>
      </c>
      <c r="AA69" s="14">
        <f t="shared" si="28"/>
        <v>0</v>
      </c>
      <c r="AB69" s="14">
        <f t="shared" si="28"/>
        <v>0</v>
      </c>
      <c r="AC69" s="14"/>
      <c r="AD69" s="14">
        <f>SUM(B69:AB69)</f>
        <v>-894.03665790890113</v>
      </c>
    </row>
    <row r="70" spans="1:30" x14ac:dyDescent="0.25"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</row>
    <row r="71" spans="1:30" x14ac:dyDescent="0.25">
      <c r="A71" s="23" t="s">
        <v>187</v>
      </c>
    </row>
    <row r="72" spans="1:30" x14ac:dyDescent="0.25">
      <c r="A72" t="s">
        <v>19</v>
      </c>
      <c r="B72">
        <f t="shared" ref="B72:AB72" si="29">IF(B$33="JA",$C$1*(1-$C$4)*(1-$C$3),0)</f>
        <v>0</v>
      </c>
      <c r="C72">
        <f t="shared" si="29"/>
        <v>0</v>
      </c>
      <c r="D72">
        <f t="shared" si="29"/>
        <v>0</v>
      </c>
      <c r="E72">
        <f t="shared" si="29"/>
        <v>0</v>
      </c>
      <c r="F72">
        <f t="shared" si="29"/>
        <v>0</v>
      </c>
      <c r="G72">
        <f t="shared" si="29"/>
        <v>0</v>
      </c>
      <c r="H72">
        <f t="shared" si="29"/>
        <v>0</v>
      </c>
      <c r="I72">
        <f t="shared" si="29"/>
        <v>0</v>
      </c>
      <c r="J72">
        <f t="shared" si="29"/>
        <v>0</v>
      </c>
      <c r="K72">
        <f t="shared" si="29"/>
        <v>0</v>
      </c>
      <c r="L72">
        <f t="shared" si="29"/>
        <v>0</v>
      </c>
      <c r="M72">
        <f t="shared" si="29"/>
        <v>0</v>
      </c>
      <c r="N72">
        <f t="shared" si="29"/>
        <v>0</v>
      </c>
      <c r="O72">
        <f t="shared" si="29"/>
        <v>0</v>
      </c>
      <c r="P72">
        <f t="shared" si="29"/>
        <v>0</v>
      </c>
      <c r="Q72">
        <f t="shared" si="29"/>
        <v>0</v>
      </c>
      <c r="R72">
        <f t="shared" si="29"/>
        <v>0</v>
      </c>
      <c r="S72">
        <f t="shared" si="29"/>
        <v>0</v>
      </c>
      <c r="T72">
        <f t="shared" si="29"/>
        <v>0</v>
      </c>
      <c r="U72">
        <f t="shared" si="29"/>
        <v>0</v>
      </c>
      <c r="V72">
        <f t="shared" si="29"/>
        <v>0</v>
      </c>
      <c r="W72">
        <f t="shared" si="29"/>
        <v>0</v>
      </c>
      <c r="X72">
        <f t="shared" si="29"/>
        <v>0</v>
      </c>
      <c r="Y72">
        <f t="shared" si="29"/>
        <v>0</v>
      </c>
      <c r="Z72">
        <f t="shared" si="29"/>
        <v>0</v>
      </c>
      <c r="AA72">
        <f t="shared" si="29"/>
        <v>0</v>
      </c>
      <c r="AB72">
        <f t="shared" si="29"/>
        <v>0</v>
      </c>
      <c r="AC72" s="10"/>
      <c r="AD72" s="10">
        <f t="shared" ref="AD72:AD95" si="30">SUM(B72:AB72)</f>
        <v>0</v>
      </c>
    </row>
    <row r="73" spans="1:30" x14ac:dyDescent="0.25">
      <c r="A73" s="13" t="s">
        <v>27</v>
      </c>
      <c r="B73">
        <f>MIN(B72,Prijzen!C108)</f>
        <v>0</v>
      </c>
      <c r="C73">
        <f>MIN(C72,Prijzen!D108)</f>
        <v>0</v>
      </c>
      <c r="D73">
        <f>MIN(D72,Prijzen!E108)</f>
        <v>0</v>
      </c>
      <c r="E73">
        <f>MIN(E72,Prijzen!F108)</f>
        <v>0</v>
      </c>
      <c r="F73">
        <f>MIN(F72,Prijzen!G108)</f>
        <v>0</v>
      </c>
      <c r="G73">
        <f>MIN(G72,Prijzen!H108)</f>
        <v>0</v>
      </c>
      <c r="H73">
        <f>MIN(H72,Prijzen!I108)</f>
        <v>0</v>
      </c>
      <c r="I73">
        <f>MIN(I72,Prijzen!J108)</f>
        <v>0</v>
      </c>
      <c r="J73">
        <f>MIN(J72,Prijzen!K108)</f>
        <v>0</v>
      </c>
      <c r="K73">
        <f>MIN(K72,Prijzen!L108)</f>
        <v>0</v>
      </c>
      <c r="L73">
        <f>MIN(L72,Prijzen!M108)</f>
        <v>0</v>
      </c>
      <c r="M73">
        <f>MIN(M72,Prijzen!N108)</f>
        <v>0</v>
      </c>
      <c r="N73">
        <f>MIN(N72,Prijzen!O108)</f>
        <v>0</v>
      </c>
      <c r="O73">
        <f>MIN(O72,Prijzen!P108)</f>
        <v>0</v>
      </c>
      <c r="P73">
        <f>MIN(P72,Prijzen!Q108)</f>
        <v>0</v>
      </c>
      <c r="Q73">
        <f>MIN(Q72,Prijzen!R108)</f>
        <v>0</v>
      </c>
      <c r="R73">
        <f>MIN(R72,Prijzen!S108)</f>
        <v>0</v>
      </c>
      <c r="S73">
        <f>MIN(S72,Prijzen!T108)</f>
        <v>0</v>
      </c>
      <c r="T73">
        <f>MIN(T72,Prijzen!U108)</f>
        <v>0</v>
      </c>
      <c r="U73">
        <f>MIN(U72,Prijzen!V108)</f>
        <v>0</v>
      </c>
      <c r="V73">
        <f>MIN(V72,Prijzen!W108)</f>
        <v>0</v>
      </c>
      <c r="W73">
        <f>MIN(W72,Prijzen!X108)</f>
        <v>0</v>
      </c>
      <c r="X73">
        <f>MIN(X72,Prijzen!Y108)</f>
        <v>0</v>
      </c>
      <c r="Y73">
        <f>MIN(Y72,Prijzen!Z108)</f>
        <v>0</v>
      </c>
      <c r="Z73">
        <f>MIN(Z72,Prijzen!AA108)</f>
        <v>0</v>
      </c>
      <c r="AA73">
        <f>MIN(AA72,Prijzen!AB108)</f>
        <v>0</v>
      </c>
      <c r="AB73">
        <f>MIN(AB72,Prijzen!AC108)</f>
        <v>0</v>
      </c>
      <c r="AD73">
        <f t="shared" si="30"/>
        <v>0</v>
      </c>
    </row>
    <row r="74" spans="1:30" x14ac:dyDescent="0.25">
      <c r="A74" t="s">
        <v>22</v>
      </c>
      <c r="B74" s="10">
        <f t="shared" ref="B74:AB74" si="31">IF(B$33="JA",$C$1*(1-$C$3)*$C$4*9.5/$D$14,0)</f>
        <v>0</v>
      </c>
      <c r="C74" s="10">
        <f t="shared" si="31"/>
        <v>1647.7446808510638</v>
      </c>
      <c r="D74" s="10">
        <f t="shared" si="31"/>
        <v>1647.7446808510638</v>
      </c>
      <c r="E74" s="10">
        <f t="shared" si="31"/>
        <v>1647.7446808510638</v>
      </c>
      <c r="F74" s="10">
        <f t="shared" si="31"/>
        <v>1647.7446808510638</v>
      </c>
      <c r="G74" s="10">
        <f t="shared" si="31"/>
        <v>1647.7446808510638</v>
      </c>
      <c r="H74" s="10">
        <f t="shared" si="31"/>
        <v>1647.7446808510638</v>
      </c>
      <c r="I74" s="10">
        <f t="shared" si="31"/>
        <v>1647.7446808510638</v>
      </c>
      <c r="J74" s="10">
        <f t="shared" si="31"/>
        <v>1647.7446808510638</v>
      </c>
      <c r="K74" s="10">
        <f t="shared" si="31"/>
        <v>1647.7446808510638</v>
      </c>
      <c r="L74" s="10">
        <f t="shared" si="31"/>
        <v>1647.7446808510638</v>
      </c>
      <c r="M74" s="10">
        <f t="shared" si="31"/>
        <v>1647.7446808510638</v>
      </c>
      <c r="N74" s="10">
        <f t="shared" si="31"/>
        <v>1647.7446808510638</v>
      </c>
      <c r="O74" s="10">
        <f t="shared" si="31"/>
        <v>1647.7446808510638</v>
      </c>
      <c r="P74" s="10">
        <f t="shared" si="31"/>
        <v>1647.7446808510638</v>
      </c>
      <c r="Q74" s="10">
        <f t="shared" si="31"/>
        <v>1647.7446808510638</v>
      </c>
      <c r="R74" s="10">
        <f t="shared" si="31"/>
        <v>0</v>
      </c>
      <c r="S74" s="10">
        <f t="shared" si="31"/>
        <v>0</v>
      </c>
      <c r="T74" s="10">
        <f t="shared" si="31"/>
        <v>0</v>
      </c>
      <c r="U74" s="10">
        <f t="shared" si="31"/>
        <v>0</v>
      </c>
      <c r="V74" s="10">
        <f t="shared" si="31"/>
        <v>0</v>
      </c>
      <c r="W74" s="10">
        <f t="shared" si="31"/>
        <v>0</v>
      </c>
      <c r="X74" s="10">
        <f t="shared" si="31"/>
        <v>0</v>
      </c>
      <c r="Y74" s="10">
        <f t="shared" si="31"/>
        <v>0</v>
      </c>
      <c r="Z74" s="10">
        <f t="shared" si="31"/>
        <v>0</v>
      </c>
      <c r="AA74" s="10">
        <f t="shared" si="31"/>
        <v>0</v>
      </c>
      <c r="AB74" s="10">
        <f t="shared" si="31"/>
        <v>0</v>
      </c>
      <c r="AC74" s="10"/>
      <c r="AD74" s="10">
        <f t="shared" si="30"/>
        <v>24716.170212765959</v>
      </c>
    </row>
    <row r="75" spans="1:30" x14ac:dyDescent="0.25">
      <c r="A75" s="13" t="s">
        <v>27</v>
      </c>
      <c r="AC75" s="10"/>
      <c r="AD75" s="10">
        <f t="shared" si="30"/>
        <v>0</v>
      </c>
    </row>
    <row r="76" spans="1:30" x14ac:dyDescent="0.25">
      <c r="A76" t="s">
        <v>13</v>
      </c>
      <c r="B76" s="2">
        <f>VLOOKUP($C$8,Prijzen!$B$32:$T$35,B$31,FALSE)</f>
        <v>1.248756086373378</v>
      </c>
      <c r="C76" s="2">
        <f>VLOOKUP($C$8,Prijzen!$B$32:$T$35,C$31,FALSE)</f>
        <v>1.2514967446419549</v>
      </c>
      <c r="D76" s="2">
        <f>VLOOKUP($C$8,Prijzen!$B$32:$T$35,D$31,FALSE)</f>
        <v>1.2287304397192578</v>
      </c>
      <c r="E76" s="2">
        <f>VLOOKUP($C$8,Prijzen!$B$32:$T$35,E$31,FALSE)</f>
        <v>1.2128648759239511</v>
      </c>
      <c r="F76" s="2">
        <f>VLOOKUP($C$8,Prijzen!$B$32:$T$35,F$31,FALSE)</f>
        <v>1.222362781734142</v>
      </c>
      <c r="G76" s="2">
        <f>VLOOKUP($C$8,Prijzen!$B$32:$T$35,G$31,FALSE)</f>
        <v>1.2671352026773273</v>
      </c>
      <c r="H76" s="2">
        <f>VLOOKUP($C$8,Prijzen!$B$32:$T$35,H$31,FALSE)</f>
        <v>1.2991424041980122</v>
      </c>
      <c r="I76" s="2">
        <f>VLOOKUP($C$8,Prijzen!$B$32:$T$35,I$31,FALSE)</f>
        <v>1.3162505241946256</v>
      </c>
      <c r="J76" s="2">
        <f>VLOOKUP($C$8,Prijzen!$B$32:$T$35,J$31,FALSE)</f>
        <v>1.3337008065911713</v>
      </c>
      <c r="K76" s="2">
        <f>VLOOKUP($C$8,Prijzen!$B$32:$T$35,K$31,FALSE)</f>
        <v>1.3515000946356479</v>
      </c>
      <c r="L76" s="2">
        <f>VLOOKUP($C$8,Prijzen!$B$32:$T$35,L$31,FALSE)</f>
        <v>1.369655368441014</v>
      </c>
      <c r="M76" s="2">
        <f>VLOOKUP($C$8,Prijzen!$B$32:$T$35,M$31,FALSE)</f>
        <v>1.3881737477224874</v>
      </c>
      <c r="N76" s="2">
        <f>VLOOKUP($C$8,Prijzen!$B$32:$T$35,N$31,FALSE)</f>
        <v>1.4070624945895902</v>
      </c>
      <c r="O76" s="2">
        <f>VLOOKUP($C$8,Prijzen!$B$32:$T$35,O$31,FALSE)</f>
        <v>1.4263290163940352</v>
      </c>
      <c r="P76" s="2">
        <f>VLOOKUP($C$8,Prijzen!$B$32:$T$35,P$31,FALSE)</f>
        <v>1.445980868634569</v>
      </c>
      <c r="Q76" s="2">
        <f>VLOOKUP($C$8,Prijzen!$B$32:$T$35,Q$31,FALSE)</f>
        <v>1.4660257579199134</v>
      </c>
      <c r="R76" s="2">
        <f>VLOOKUP($C$8,Prijzen!$B$32:$T$35,R$31,FALSE)</f>
        <v>1.4864715449909649</v>
      </c>
      <c r="S76" s="2">
        <f>VLOOKUP($C$8,Prijzen!$B$32:$T$35,S$31,FALSE)</f>
        <v>1.2991424041980122</v>
      </c>
      <c r="T76" s="2">
        <f>VLOOKUP($C$8,Prijzen!$B$32:$T$35,T$31,FALSE)</f>
        <v>1.2991424041980122</v>
      </c>
      <c r="U76" s="2">
        <f>VLOOKUP($C$8,Prijzen!$B$32:$T$35,U$31,FALSE)</f>
        <v>1.2991424041980122</v>
      </c>
      <c r="V76" s="2">
        <f>VLOOKUP($C$8,Prijzen!$B$32:$T$35,V$31,FALSE)</f>
        <v>1.2991424041980122</v>
      </c>
      <c r="W76" s="2">
        <f>VLOOKUP($C$8,Prijzen!$B$32:$T$35,W$31,FALSE)</f>
        <v>1.2991424041980122</v>
      </c>
      <c r="X76" s="2">
        <f>VLOOKUP($C$8,Prijzen!$B$32:$T$35,X$31,FALSE)</f>
        <v>1.2991424041980122</v>
      </c>
      <c r="Y76" s="2">
        <f>VLOOKUP($C$8,Prijzen!$B$32:$T$35,Y$31,FALSE)</f>
        <v>1.2991424041980122</v>
      </c>
      <c r="Z76" s="2">
        <f>VLOOKUP($C$8,Prijzen!$B$32:$T$35,Z$31,FALSE)</f>
        <v>1.2991424041980122</v>
      </c>
      <c r="AA76" s="2">
        <f>VLOOKUP($C$8,Prijzen!$B$32:$T$35,AA$31,FALSE)</f>
        <v>1.2991424041980122</v>
      </c>
      <c r="AB76" s="2">
        <f>VLOOKUP($C$8,Prijzen!$B$32:$T$35,AB$31,FALSE)</f>
        <v>1.2991424041980122</v>
      </c>
      <c r="AC76" s="2"/>
      <c r="AD76" s="2">
        <f t="shared" si="30"/>
        <v>35.713062801362163</v>
      </c>
    </row>
    <row r="77" spans="1:30" x14ac:dyDescent="0.25">
      <c r="A77" t="s">
        <v>12</v>
      </c>
      <c r="B77" s="2">
        <f>VLOOKUP($C$8,Prijzen!$B$38:$T$41,B$31,FALSE)</f>
        <v>0.30772435747266325</v>
      </c>
      <c r="C77" s="2">
        <f>VLOOKUP($C$8,Prijzen!$B$38:$T$41,C$31,FALSE)</f>
        <v>0.275890183279209</v>
      </c>
      <c r="D77" s="2">
        <f>VLOOKUP($C$8,Prijzen!$B$38:$T$41,D$31,FALSE)</f>
        <v>0.24897066227602277</v>
      </c>
      <c r="E77" s="2">
        <f>VLOOKUP($C$8,Prijzen!$B$38:$T$41,E$31,FALSE)</f>
        <v>0.23621624314417644</v>
      </c>
      <c r="F77" s="2">
        <f>VLOOKUP($C$8,Prijzen!$B$38:$T$41,F$31,FALSE)</f>
        <v>0.22470481824054794</v>
      </c>
      <c r="G77" s="2">
        <f>VLOOKUP($C$8,Prijzen!$B$38:$T$41,G$31,FALSE)</f>
        <v>0.22722462021985299</v>
      </c>
      <c r="H77" s="2">
        <f>VLOOKUP($C$8,Prijzen!$B$38:$T$41,H$31,FALSE)</f>
        <v>0.23411230073066347</v>
      </c>
      <c r="I77" s="2">
        <f>VLOOKUP($C$8,Prijzen!$B$38:$T$41,I$31,FALSE)</f>
        <v>0.2360860841826537</v>
      </c>
      <c r="J77" s="2">
        <f>VLOOKUP($C$8,Prijzen!$B$38:$T$41,J$31,FALSE)</f>
        <v>0.23809934330368376</v>
      </c>
      <c r="K77" s="2">
        <f>VLOOKUP($C$8,Prijzen!$B$38:$T$41,K$31,FALSE)</f>
        <v>0.24015286760713439</v>
      </c>
      <c r="L77" s="2">
        <f>VLOOKUP($C$8,Prijzen!$B$38:$T$41,L$31,FALSE)</f>
        <v>0.24224746239665404</v>
      </c>
      <c r="M77" s="2">
        <f>VLOOKUP($C$8,Prijzen!$B$38:$T$41,M$31,FALSE)</f>
        <v>0.24438394908196409</v>
      </c>
      <c r="N77" s="2">
        <f>VLOOKUP($C$8,Prijzen!$B$38:$T$41,N$31,FALSE)</f>
        <v>0.24656316550098034</v>
      </c>
      <c r="O77" s="2">
        <f>VLOOKUP($C$8,Prijzen!$B$38:$T$41,O$31,FALSE)</f>
        <v>0.2487859662483769</v>
      </c>
      <c r="P77" s="2">
        <f>VLOOKUP($C$8,Prijzen!$B$38:$T$41,P$31,FALSE)</f>
        <v>0.25105322301072142</v>
      </c>
      <c r="Q77" s="2">
        <f>VLOOKUP($C$8,Prijzen!$B$38:$T$41,Q$31,FALSE)</f>
        <v>0.25336582490831283</v>
      </c>
      <c r="R77" s="2">
        <f>VLOOKUP($C$8,Prijzen!$B$38:$T$41,R$31,FALSE)</f>
        <v>0.25572467884385602</v>
      </c>
      <c r="S77" s="2">
        <f>VLOOKUP($C$8,Prijzen!$B$38:$T$41,S$31,FALSE)</f>
        <v>0.23411230073066347</v>
      </c>
      <c r="T77" s="2">
        <f>VLOOKUP($C$8,Prijzen!$B$38:$T$41,T$31,FALSE)</f>
        <v>0.23411230073066347</v>
      </c>
      <c r="U77" s="2">
        <f>VLOOKUP($C$8,Prijzen!$B$38:$T$41,U$31,FALSE)</f>
        <v>0.23411230073066347</v>
      </c>
      <c r="V77" s="2">
        <f>VLOOKUP($C$8,Prijzen!$B$38:$T$41,V$31,FALSE)</f>
        <v>0.23411230073066347</v>
      </c>
      <c r="W77" s="2">
        <f>VLOOKUP($C$8,Prijzen!$B$38:$T$41,W$31,FALSE)</f>
        <v>0.23411230073066347</v>
      </c>
      <c r="X77" s="2">
        <f>VLOOKUP($C$8,Prijzen!$B$38:$T$41,X$31,FALSE)</f>
        <v>0.23411230073066347</v>
      </c>
      <c r="Y77" s="2">
        <f>VLOOKUP($C$8,Prijzen!$B$38:$T$41,Y$31,FALSE)</f>
        <v>0.23411230073066347</v>
      </c>
      <c r="Z77" s="2">
        <f>VLOOKUP($C$8,Prijzen!$B$38:$T$41,Z$31,FALSE)</f>
        <v>0.23411230073066347</v>
      </c>
      <c r="AA77" s="2">
        <f>VLOOKUP($C$8,Prijzen!$B$38:$T$41,AA$31,FALSE)</f>
        <v>0.23411230073066347</v>
      </c>
      <c r="AB77" s="2">
        <f>VLOOKUP($C$8,Prijzen!$B$38:$T$41,AB$31,FALSE)</f>
        <v>0.23411230073066347</v>
      </c>
      <c r="AC77" s="2"/>
      <c r="AD77" s="2">
        <f t="shared" si="30"/>
        <v>6.5524287577541047</v>
      </c>
    </row>
    <row r="78" spans="1:30" x14ac:dyDescent="0.25">
      <c r="A78" t="s">
        <v>21</v>
      </c>
      <c r="B78" s="1">
        <f t="shared" ref="B78" si="32">B77/(B76/9.5)</f>
        <v>2.3410347528157796</v>
      </c>
      <c r="C78" s="1">
        <f t="shared" ref="C78" si="33">C77/(C76/9.5)</f>
        <v>2.0942577376837876</v>
      </c>
      <c r="D78" s="1">
        <f t="shared" ref="D78" si="34">D77/(D76/9.5)</f>
        <v>1.9249309817396774</v>
      </c>
      <c r="E78" s="1">
        <f t="shared" ref="E78" si="35">E77/(E76/9.5)</f>
        <v>1.8502096601323152</v>
      </c>
      <c r="F78" s="1">
        <f t="shared" ref="F78" si="36">F77/(F76/9.5)</f>
        <v>1.7463684310289247</v>
      </c>
      <c r="G78" s="1">
        <f t="shared" ref="G78" si="37">G77/(G76/9.5)</f>
        <v>1.7035545122001428</v>
      </c>
      <c r="H78" s="1">
        <f t="shared" ref="H78" si="38">H77/(H76/9.5)</f>
        <v>1.7119500139126518</v>
      </c>
      <c r="I78" s="1">
        <f t="shared" ref="I78" si="39">I77/(I76/9.5)</f>
        <v>1.7039444684039335</v>
      </c>
      <c r="J78" s="1">
        <f t="shared" ref="J78" si="40">J77/(J76/9.5)</f>
        <v>1.6959903977012178</v>
      </c>
      <c r="K78" s="1">
        <f t="shared" ref="K78" si="41">K77/(K76/9.5)</f>
        <v>1.6880888512870105</v>
      </c>
      <c r="L78" s="1">
        <f t="shared" ref="L78" si="42">L77/(L76/9.5)</f>
        <v>1.6802408443721761</v>
      </c>
      <c r="M78" s="1">
        <f t="shared" ref="M78" si="43">M77/(M76/9.5)</f>
        <v>1.6724473576075609</v>
      </c>
      <c r="N78" s="1">
        <f t="shared" ref="N78" si="44">N77/(N76/9.5)</f>
        <v>1.6647093368390338</v>
      </c>
      <c r="O78" s="1">
        <f t="shared" ref="O78" si="45">O77/(O76/9.5)</f>
        <v>1.657027692905501</v>
      </c>
      <c r="P78" s="1">
        <f t="shared" ref="P78" si="46">P77/(P76/9.5)</f>
        <v>1.6494033014793619</v>
      </c>
      <c r="Q78" s="1">
        <f t="shared" ref="Q78" si="47">Q77/(Q76/9.5)</f>
        <v>1.6418370029487988</v>
      </c>
      <c r="R78" s="1">
        <f t="shared" ref="R78" si="48">R77/(R76/9.5)</f>
        <v>1.6343296023412266</v>
      </c>
      <c r="S78" s="1">
        <f t="shared" ref="S78" si="49">S77/(S76/9.5)</f>
        <v>1.7119500139126518</v>
      </c>
      <c r="T78" s="1">
        <f t="shared" ref="T78" si="50">T77/(T76/9.5)</f>
        <v>1.7119500139126518</v>
      </c>
      <c r="U78" s="1">
        <f t="shared" ref="U78" si="51">U77/(U76/9.5)</f>
        <v>1.7119500139126518</v>
      </c>
      <c r="V78" s="1">
        <f t="shared" ref="V78" si="52">V77/(V76/9.5)</f>
        <v>1.7119500139126518</v>
      </c>
      <c r="W78" s="1">
        <f t="shared" ref="W78" si="53">W77/(W76/9.5)</f>
        <v>1.7119500139126518</v>
      </c>
      <c r="X78" s="1">
        <f t="shared" ref="X78" si="54">X77/(X76/9.5)</f>
        <v>1.7119500139126518</v>
      </c>
      <c r="Y78" s="1">
        <f t="shared" ref="Y78" si="55">Y77/(Y76/9.5)</f>
        <v>1.7119500139126518</v>
      </c>
      <c r="Z78" s="1">
        <f t="shared" ref="Z78" si="56">Z77/(Z76/9.5)</f>
        <v>1.7119500139126518</v>
      </c>
      <c r="AA78" s="1">
        <f t="shared" ref="AA78" si="57">AA77/(AA76/9.5)</f>
        <v>1.7119500139126518</v>
      </c>
      <c r="AB78" s="1">
        <f t="shared" ref="AB78" si="58">AB77/(AB76/9.5)</f>
        <v>1.7119500139126518</v>
      </c>
      <c r="AC78" s="1"/>
      <c r="AD78" s="1">
        <f t="shared" si="30"/>
        <v>47.179825084525589</v>
      </c>
    </row>
    <row r="79" spans="1:30" x14ac:dyDescent="0.25">
      <c r="A79" t="s">
        <v>30</v>
      </c>
      <c r="B79" s="8">
        <f>IFERROR(B73*Prijzen!$B$83+('Business case'!B72-'Business case'!B73)*'Business case'!B76,"")</f>
        <v>0</v>
      </c>
      <c r="C79" s="8">
        <f>IFERROR(C73*Prijzen!$B$83+('Business case'!C72-'Business case'!C73)*'Business case'!C76,"")</f>
        <v>0</v>
      </c>
      <c r="D79" s="8">
        <f>IFERROR(D73*Prijzen!$B$83+('Business case'!D72-'Business case'!D73)*'Business case'!D76,"")</f>
        <v>0</v>
      </c>
      <c r="E79" s="8">
        <f>IFERROR(E73*Prijzen!$B$83+('Business case'!E72-'Business case'!E73)*'Business case'!E76,"")</f>
        <v>0</v>
      </c>
      <c r="F79" s="8">
        <f>IFERROR(F73*Prijzen!$B$83+('Business case'!F72-'Business case'!F73)*'Business case'!F76,"")</f>
        <v>0</v>
      </c>
      <c r="G79" s="8">
        <f>IFERROR(G73*Prijzen!$B$83+('Business case'!G72-'Business case'!G73)*'Business case'!G76,"")</f>
        <v>0</v>
      </c>
      <c r="H79" s="8">
        <f>IFERROR(H73*Prijzen!$B$83+('Business case'!H72-'Business case'!H73)*'Business case'!H76,"")</f>
        <v>0</v>
      </c>
      <c r="I79" s="8">
        <f>IFERROR(I73*Prijzen!$B$83+('Business case'!I72-'Business case'!I73)*'Business case'!I76,"")</f>
        <v>0</v>
      </c>
      <c r="J79" s="8">
        <f>IFERROR(J73*Prijzen!$B$83+('Business case'!J72-'Business case'!J73)*'Business case'!J76,"")</f>
        <v>0</v>
      </c>
      <c r="K79" s="8">
        <f>IFERROR(K73*Prijzen!$B$83+('Business case'!K72-'Business case'!K73)*'Business case'!K76,"")</f>
        <v>0</v>
      </c>
      <c r="L79" s="8">
        <f>IFERROR(L73*Prijzen!$B$83+('Business case'!L72-'Business case'!L73)*'Business case'!L76,"")</f>
        <v>0</v>
      </c>
      <c r="M79" s="8">
        <f>IFERROR(M73*Prijzen!$B$83+('Business case'!M72-'Business case'!M73)*'Business case'!M76,"")</f>
        <v>0</v>
      </c>
      <c r="N79" s="8">
        <f>IFERROR(N73*Prijzen!$B$83+('Business case'!N72-'Business case'!N73)*'Business case'!N76,"")</f>
        <v>0</v>
      </c>
      <c r="O79" s="8">
        <f>IFERROR(O73*Prijzen!$B$83+('Business case'!O72-'Business case'!O73)*'Business case'!O76,"")</f>
        <v>0</v>
      </c>
      <c r="P79" s="8">
        <f>IFERROR(P73*Prijzen!$B$83+('Business case'!P72-'Business case'!P73)*'Business case'!P76,"")</f>
        <v>0</v>
      </c>
      <c r="Q79" s="8">
        <f>IFERROR(Q73*Prijzen!$B$83+('Business case'!Q72-'Business case'!Q73)*'Business case'!Q76,"")</f>
        <v>0</v>
      </c>
      <c r="R79" s="8">
        <f>IFERROR(R73*Prijzen!$B$83+('Business case'!R72-'Business case'!R73)*'Business case'!R76,"")</f>
        <v>0</v>
      </c>
      <c r="S79" s="8">
        <f>IFERROR(S73*Prijzen!$B$83+('Business case'!S72-'Business case'!S73)*'Business case'!S76,"")</f>
        <v>0</v>
      </c>
      <c r="T79" s="8">
        <f>IFERROR(T73*Prijzen!$B$83+('Business case'!T72-'Business case'!T73)*'Business case'!T76,"")</f>
        <v>0</v>
      </c>
      <c r="U79" s="8">
        <f>IFERROR(U73*Prijzen!$B$83+('Business case'!U72-'Business case'!U73)*'Business case'!U76,"")</f>
        <v>0</v>
      </c>
      <c r="V79" s="8">
        <f>IFERROR(V73*Prijzen!$B$83+('Business case'!V72-'Business case'!V73)*'Business case'!V76,"")</f>
        <v>0</v>
      </c>
      <c r="W79" s="8">
        <f>IFERROR(W73*Prijzen!$B$83+('Business case'!W72-'Business case'!W73)*'Business case'!W76,"")</f>
        <v>0</v>
      </c>
      <c r="X79" s="8">
        <f>IFERROR(X73*Prijzen!$B$83+('Business case'!X72-'Business case'!X73)*'Business case'!X76,"")</f>
        <v>0</v>
      </c>
      <c r="Y79" s="8">
        <f>IFERROR(Y73*Prijzen!$B$83+('Business case'!Y72-'Business case'!Y73)*'Business case'!Y76,"")</f>
        <v>0</v>
      </c>
      <c r="Z79" s="8">
        <f>IFERROR(Z73*Prijzen!$B$83+('Business case'!Z72-'Business case'!Z73)*'Business case'!Z76,"")</f>
        <v>0</v>
      </c>
      <c r="AA79" s="8">
        <f>IFERROR(AA73*Prijzen!$B$83+('Business case'!AA72-'Business case'!AA73)*'Business case'!AA76,"")</f>
        <v>0</v>
      </c>
      <c r="AB79" s="8">
        <f>IFERROR(AB73*Prijzen!$B$83+('Business case'!AB72-'Business case'!AB73)*'Business case'!AB76,"")</f>
        <v>0</v>
      </c>
      <c r="AC79" s="8"/>
      <c r="AD79" s="8">
        <f t="shared" si="30"/>
        <v>0</v>
      </c>
    </row>
    <row r="80" spans="1:30" x14ac:dyDescent="0.25">
      <c r="A80" t="s">
        <v>31</v>
      </c>
      <c r="B80" s="8">
        <f>IFERROR(B75*Prijzen!$C$83+('Business case'!B74-'Business case'!B75)*'Business case'!B77,"")</f>
        <v>0</v>
      </c>
      <c r="C80" s="8">
        <f>IFERROR(C75*Prijzen!$C$83+('Business case'!C74-'Business case'!C75)*'Business case'!C77,"")</f>
        <v>454.59658199734173</v>
      </c>
      <c r="D80" s="8">
        <f>IFERROR(D75*Prijzen!$C$83+('Business case'!D74-'Business case'!D75)*'Business case'!D77,"")</f>
        <v>410.24008445328315</v>
      </c>
      <c r="E80" s="8">
        <f>IFERROR(E75*Prijzen!$C$83+('Business case'!E74-'Business case'!E75)*'Business case'!E77,"")</f>
        <v>389.22405817143829</v>
      </c>
      <c r="F80" s="8">
        <f>IFERROR(F75*Prijzen!$C$83+('Business case'!F74-'Business case'!F75)*'Business case'!F77,"")</f>
        <v>370.25616901746798</v>
      </c>
      <c r="G80" s="8">
        <f>IFERROR(G75*Prijzen!$C$83+('Business case'!G74-'Business case'!G75)*'Business case'!G77,"")</f>
        <v>374.40815932566585</v>
      </c>
      <c r="H80" s="8">
        <f>IFERROR(H75*Prijzen!$C$83+('Business case'!H74-'Business case'!H75)*'Business case'!H77,"")</f>
        <v>385.75729825075535</v>
      </c>
      <c r="I80" s="8">
        <f>IFERROR(I75*Prijzen!$C$83+('Business case'!I74-'Business case'!I75)*'Business case'!I77,"")</f>
        <v>389.00958943492412</v>
      </c>
      <c r="J80" s="8">
        <f>IFERROR(J75*Prijzen!$C$83+('Business case'!J74-'Business case'!J75)*'Business case'!J77,"")</f>
        <v>392.32692644277626</v>
      </c>
      <c r="K80" s="8">
        <f>IFERROR(K75*Prijzen!$C$83+('Business case'!K74-'Business case'!K75)*'Business case'!K77,"")</f>
        <v>395.71061019078542</v>
      </c>
      <c r="L80" s="8">
        <f>IFERROR(L75*Prijzen!$C$83+('Business case'!L74-'Business case'!L75)*'Business case'!L77,"")</f>
        <v>399.16196761375477</v>
      </c>
      <c r="M80" s="8">
        <f>IFERROR(M75*Prijzen!$C$83+('Business case'!M74-'Business case'!M75)*'Business case'!M77,"")</f>
        <v>402.68235218518356</v>
      </c>
      <c r="N80" s="8">
        <f>IFERROR(N75*Prijzen!$C$83+('Business case'!N74-'Business case'!N75)*'Business case'!N77,"")</f>
        <v>406.27314444804085</v>
      </c>
      <c r="O80" s="8">
        <f>IFERROR(O75*Prijzen!$C$83+('Business case'!O74-'Business case'!O75)*'Business case'!O77,"")</f>
        <v>409.93575255615531</v>
      </c>
      <c r="P80" s="8">
        <f>IFERROR(P75*Prijzen!$C$83+('Business case'!P74-'Business case'!P75)*'Business case'!P77,"")</f>
        <v>413.67161282643212</v>
      </c>
      <c r="Q80" s="8">
        <f>IFERROR(Q75*Prijzen!$C$83+('Business case'!Q74-'Business case'!Q75)*'Business case'!Q77,"")</f>
        <v>417.48219030211442</v>
      </c>
      <c r="R80" s="8">
        <f>IFERROR(R75*Prijzen!$C$83+('Business case'!R74-'Business case'!R75)*'Business case'!R77,"")</f>
        <v>0</v>
      </c>
      <c r="S80" s="8">
        <f>IFERROR(S75*Prijzen!$C$83+('Business case'!S74-'Business case'!S75)*'Business case'!S77,"")</f>
        <v>0</v>
      </c>
      <c r="T80" s="8">
        <f>IFERROR(T75*Prijzen!$C$83+('Business case'!T74-'Business case'!T75)*'Business case'!T77,"")</f>
        <v>0</v>
      </c>
      <c r="U80" s="8">
        <f>IFERROR(U75*Prijzen!$C$83+('Business case'!U74-'Business case'!U75)*'Business case'!U77,"")</f>
        <v>0</v>
      </c>
      <c r="V80" s="8">
        <f>IFERROR(V75*Prijzen!$C$83+('Business case'!V74-'Business case'!V75)*'Business case'!V77,"")</f>
        <v>0</v>
      </c>
      <c r="W80" s="8">
        <f>IFERROR(W75*Prijzen!$C$83+('Business case'!W74-'Business case'!W75)*'Business case'!W77,"")</f>
        <v>0</v>
      </c>
      <c r="X80" s="8">
        <f>IFERROR(X75*Prijzen!$C$83+('Business case'!X74-'Business case'!X75)*'Business case'!X77,"")</f>
        <v>0</v>
      </c>
      <c r="Y80" s="8">
        <f>IFERROR(Y75*Prijzen!$C$83+('Business case'!Y74-'Business case'!Y75)*'Business case'!Y77,"")</f>
        <v>0</v>
      </c>
      <c r="Z80" s="8">
        <f>IFERROR(Z75*Prijzen!$C$83+('Business case'!Z74-'Business case'!Z75)*'Business case'!Z77,"")</f>
        <v>0</v>
      </c>
      <c r="AA80" s="8">
        <f>IFERROR(AA75*Prijzen!$C$83+('Business case'!AA74-'Business case'!AA75)*'Business case'!AA77,"")</f>
        <v>0</v>
      </c>
      <c r="AB80" s="8">
        <f>IFERROR(AB75*Prijzen!$C$83+('Business case'!AB74-'Business case'!AB75)*'Business case'!AB77,"")</f>
        <v>0</v>
      </c>
      <c r="AC80" s="8"/>
      <c r="AD80" s="8">
        <f t="shared" si="30"/>
        <v>6010.7364972161195</v>
      </c>
    </row>
    <row r="81" spans="1:30" x14ac:dyDescent="0.25">
      <c r="A81" t="s">
        <v>32</v>
      </c>
      <c r="B81" s="8">
        <f t="shared" ref="B81:AB81" si="59">IF($C$4=100%,0,B66)</f>
        <v>0</v>
      </c>
      <c r="C81" s="8">
        <f t="shared" si="59"/>
        <v>0</v>
      </c>
      <c r="D81" s="8">
        <f t="shared" si="59"/>
        <v>0</v>
      </c>
      <c r="E81" s="8">
        <f t="shared" si="59"/>
        <v>0</v>
      </c>
      <c r="F81" s="8">
        <f t="shared" si="59"/>
        <v>0</v>
      </c>
      <c r="G81" s="8">
        <f t="shared" si="59"/>
        <v>0</v>
      </c>
      <c r="H81" s="8">
        <f t="shared" si="59"/>
        <v>0</v>
      </c>
      <c r="I81" s="8">
        <f t="shared" si="59"/>
        <v>0</v>
      </c>
      <c r="J81" s="8">
        <f t="shared" si="59"/>
        <v>0</v>
      </c>
      <c r="K81" s="8">
        <f t="shared" si="59"/>
        <v>0</v>
      </c>
      <c r="L81" s="8">
        <f t="shared" si="59"/>
        <v>0</v>
      </c>
      <c r="M81" s="8">
        <f t="shared" si="59"/>
        <v>0</v>
      </c>
      <c r="N81" s="8">
        <f t="shared" si="59"/>
        <v>0</v>
      </c>
      <c r="O81" s="8">
        <f t="shared" si="59"/>
        <v>0</v>
      </c>
      <c r="P81" s="8">
        <f t="shared" si="59"/>
        <v>0</v>
      </c>
      <c r="Q81" s="8">
        <f t="shared" si="59"/>
        <v>0</v>
      </c>
      <c r="R81" s="8">
        <f t="shared" si="59"/>
        <v>0</v>
      </c>
      <c r="S81" s="8">
        <f t="shared" si="59"/>
        <v>0</v>
      </c>
      <c r="T81" s="8">
        <f t="shared" si="59"/>
        <v>0</v>
      </c>
      <c r="U81" s="8">
        <f t="shared" si="59"/>
        <v>0</v>
      </c>
      <c r="V81" s="8">
        <f t="shared" si="59"/>
        <v>0</v>
      </c>
      <c r="W81" s="8">
        <f t="shared" si="59"/>
        <v>0</v>
      </c>
      <c r="X81" s="8">
        <f t="shared" si="59"/>
        <v>0</v>
      </c>
      <c r="Y81" s="8">
        <f t="shared" si="59"/>
        <v>0</v>
      </c>
      <c r="Z81" s="8">
        <f t="shared" si="59"/>
        <v>0</v>
      </c>
      <c r="AA81" s="8">
        <f t="shared" si="59"/>
        <v>0</v>
      </c>
      <c r="AB81" s="8">
        <f t="shared" si="59"/>
        <v>0</v>
      </c>
      <c r="AC81" s="8"/>
      <c r="AD81" s="8">
        <f t="shared" si="30"/>
        <v>0</v>
      </c>
    </row>
    <row r="82" spans="1:30" x14ac:dyDescent="0.25">
      <c r="A82" t="s">
        <v>33</v>
      </c>
      <c r="B82" s="8">
        <f t="shared" ref="B82:AB82" si="60">IF($C$4=100%,0,B67)</f>
        <v>0</v>
      </c>
      <c r="C82" s="8">
        <f t="shared" si="60"/>
        <v>0</v>
      </c>
      <c r="D82" s="8">
        <f t="shared" si="60"/>
        <v>0</v>
      </c>
      <c r="E82" s="8">
        <f t="shared" si="60"/>
        <v>0</v>
      </c>
      <c r="F82" s="8">
        <f t="shared" si="60"/>
        <v>0</v>
      </c>
      <c r="G82" s="8">
        <f t="shared" si="60"/>
        <v>0</v>
      </c>
      <c r="H82" s="8">
        <f t="shared" si="60"/>
        <v>0</v>
      </c>
      <c r="I82" s="8">
        <f t="shared" si="60"/>
        <v>0</v>
      </c>
      <c r="J82" s="8">
        <f t="shared" si="60"/>
        <v>0</v>
      </c>
      <c r="K82" s="8">
        <f t="shared" si="60"/>
        <v>0</v>
      </c>
      <c r="L82" s="8">
        <f t="shared" si="60"/>
        <v>0</v>
      </c>
      <c r="M82" s="8">
        <f t="shared" si="60"/>
        <v>0</v>
      </c>
      <c r="N82" s="8">
        <f t="shared" si="60"/>
        <v>0</v>
      </c>
      <c r="O82" s="8">
        <f t="shared" si="60"/>
        <v>0</v>
      </c>
      <c r="P82" s="8">
        <f t="shared" si="60"/>
        <v>0</v>
      </c>
      <c r="Q82" s="8">
        <f t="shared" si="60"/>
        <v>0</v>
      </c>
      <c r="R82" s="8">
        <f t="shared" si="60"/>
        <v>0</v>
      </c>
      <c r="S82" s="8">
        <f t="shared" si="60"/>
        <v>0</v>
      </c>
      <c r="T82" s="8">
        <f t="shared" si="60"/>
        <v>0</v>
      </c>
      <c r="U82" s="8">
        <f t="shared" si="60"/>
        <v>0</v>
      </c>
      <c r="V82" s="8">
        <f t="shared" si="60"/>
        <v>0</v>
      </c>
      <c r="W82" s="8">
        <f t="shared" si="60"/>
        <v>0</v>
      </c>
      <c r="X82" s="8">
        <f t="shared" si="60"/>
        <v>0</v>
      </c>
      <c r="Y82" s="8">
        <f t="shared" si="60"/>
        <v>0</v>
      </c>
      <c r="Z82" s="8">
        <f t="shared" si="60"/>
        <v>0</v>
      </c>
      <c r="AA82" s="8">
        <f t="shared" si="60"/>
        <v>0</v>
      </c>
      <c r="AB82" s="8">
        <f t="shared" si="60"/>
        <v>0</v>
      </c>
      <c r="AC82" s="8"/>
      <c r="AD82" s="8">
        <f t="shared" si="30"/>
        <v>0</v>
      </c>
    </row>
    <row r="83" spans="1:30" x14ac:dyDescent="0.25">
      <c r="A83" t="s">
        <v>70</v>
      </c>
      <c r="B83" s="8">
        <f>IF(B$33="JA",IF($C$4="100"%,0,Prijzen!D104),0)</f>
        <v>0</v>
      </c>
      <c r="C83" s="8">
        <f>IF(C$33="JA",IF($C$4="100"%,0,Prijzen!E104),0)</f>
        <v>0</v>
      </c>
      <c r="D83" s="8">
        <f>IF(D$33="JA",IF($C$4="100"%,0,Prijzen!F104),0)</f>
        <v>0</v>
      </c>
      <c r="E83" s="8">
        <f>IF(E$33="JA",IF($C$4="100"%,0,Prijzen!G104),0)</f>
        <v>0</v>
      </c>
      <c r="F83" s="8">
        <f>IF(F$33="JA",IF($C$4="100"%,0,Prijzen!H104),0)</f>
        <v>0</v>
      </c>
      <c r="G83" s="8">
        <f>IF(G$33="JA",IF($C$4="100"%,0,Prijzen!I104),0)</f>
        <v>0</v>
      </c>
      <c r="H83" s="8">
        <f>IF(H$33="JA",IF($C$4="100"%,0,Prijzen!J104),0)</f>
        <v>0</v>
      </c>
      <c r="I83" s="8">
        <f>IF(I$33="JA",IF($C$4="100"%,0,Prijzen!K104),0)</f>
        <v>0</v>
      </c>
      <c r="J83" s="8">
        <f>IF(J$33="JA",IF($C$4="100"%,0,Prijzen!L104),0)</f>
        <v>0</v>
      </c>
      <c r="K83" s="8">
        <f>IF(K$33="JA",IF($C$4="100"%,0,Prijzen!M104),0)</f>
        <v>0</v>
      </c>
      <c r="L83" s="8">
        <f>IF(L$33="JA",IF($C$4="100"%,0,Prijzen!N104),0)</f>
        <v>0</v>
      </c>
      <c r="M83" s="8">
        <f>IF(M$33="JA",IF($C$4="100"%,0,Prijzen!O104),0)</f>
        <v>0</v>
      </c>
      <c r="N83" s="8">
        <f>IF(N$33="JA",IF($C$4="100"%,0,Prijzen!P104),0)</f>
        <v>0</v>
      </c>
      <c r="O83" s="8">
        <f>IF(O$33="JA",IF($C$4="100"%,0,Prijzen!Q104),0)</f>
        <v>0</v>
      </c>
      <c r="P83" s="8">
        <f>IF(P$33="JA",IF($C$4="100"%,0,Prijzen!R104),0)</f>
        <v>0</v>
      </c>
      <c r="Q83" s="8">
        <f>IF(Q$33="JA",IF($C$4="100"%,0,Prijzen!S104),0)</f>
        <v>0</v>
      </c>
      <c r="R83" s="8">
        <f>IF(R$33="JA",IF($C$4="100"%,0,Prijzen!T104),0)</f>
        <v>0</v>
      </c>
      <c r="S83" s="8">
        <f>IF(S$33="JA",IF($C$4="100"%,0,Prijzen!U104),0)</f>
        <v>0</v>
      </c>
      <c r="T83" s="8">
        <f>IF(T$33="JA",IF($C$4="100"%,0,Prijzen!V104),0)</f>
        <v>0</v>
      </c>
      <c r="U83" s="8">
        <f>IF(U$33="JA",IF($C$4="100"%,0,Prijzen!W104),0)</f>
        <v>0</v>
      </c>
      <c r="V83" s="8">
        <f>IF(V$33="JA",IF($C$4="100"%,0,Prijzen!X104),0)</f>
        <v>0</v>
      </c>
      <c r="W83" s="8">
        <f>IF(W$33="JA",IF($C$4="100"%,0,Prijzen!Y104),0)</f>
        <v>0</v>
      </c>
      <c r="X83" s="8">
        <f>IF(X$33="JA",IF($C$4="100"%,0,Prijzen!Z104),0)</f>
        <v>0</v>
      </c>
      <c r="Y83" s="8">
        <f>IF(Y$33="JA",IF($C$4="100"%,0,Prijzen!AA104),0)</f>
        <v>0</v>
      </c>
      <c r="Z83" s="8">
        <f>IF(Z$33="JA",IF($C$4="100"%,0,Prijzen!AB104),0)</f>
        <v>0</v>
      </c>
      <c r="AA83" s="8">
        <f>IF(AA$33="JA",IF($C$4="100"%,0,Prijzen!AC104),0)</f>
        <v>0</v>
      </c>
      <c r="AB83" s="8">
        <f>IF(AB$33="JA",IF($C$4="100"%,0,Prijzen!AD104),0)</f>
        <v>0</v>
      </c>
      <c r="AC83" s="8"/>
      <c r="AD83" s="8">
        <f t="shared" si="30"/>
        <v>0</v>
      </c>
    </row>
    <row r="84" spans="1:30" x14ac:dyDescent="0.25">
      <c r="A84" t="s">
        <v>121</v>
      </c>
      <c r="B84" s="8">
        <f>IF(B$33="JA",-PMT($D$17,15,$D$15,0,1),0)</f>
        <v>0</v>
      </c>
      <c r="C84" s="8">
        <f t="shared" ref="C84:AB84" si="61">IF(C$33="JA",-PMT($D$17,15,$D$15,0,1),0)</f>
        <v>1765.0847415129701</v>
      </c>
      <c r="D84" s="8">
        <f t="shared" si="61"/>
        <v>1765.0847415129701</v>
      </c>
      <c r="E84" s="8">
        <f t="shared" si="61"/>
        <v>1765.0847415129701</v>
      </c>
      <c r="F84" s="8">
        <f t="shared" si="61"/>
        <v>1765.0847415129701</v>
      </c>
      <c r="G84" s="8">
        <f t="shared" si="61"/>
        <v>1765.0847415129701</v>
      </c>
      <c r="H84" s="8">
        <f t="shared" si="61"/>
        <v>1765.0847415129701</v>
      </c>
      <c r="I84" s="8">
        <f t="shared" si="61"/>
        <v>1765.0847415129701</v>
      </c>
      <c r="J84" s="8">
        <f t="shared" si="61"/>
        <v>1765.0847415129701</v>
      </c>
      <c r="K84" s="8">
        <f t="shared" si="61"/>
        <v>1765.0847415129701</v>
      </c>
      <c r="L84" s="8">
        <f t="shared" si="61"/>
        <v>1765.0847415129701</v>
      </c>
      <c r="M84" s="8">
        <f t="shared" si="61"/>
        <v>1765.0847415129701</v>
      </c>
      <c r="N84" s="8">
        <f t="shared" si="61"/>
        <v>1765.0847415129701</v>
      </c>
      <c r="O84" s="8">
        <f t="shared" si="61"/>
        <v>1765.0847415129701</v>
      </c>
      <c r="P84" s="8">
        <f t="shared" si="61"/>
        <v>1765.0847415129701</v>
      </c>
      <c r="Q84" s="8">
        <f t="shared" si="61"/>
        <v>1765.0847415129701</v>
      </c>
      <c r="R84" s="8">
        <f t="shared" si="61"/>
        <v>0</v>
      </c>
      <c r="S84" s="8">
        <f t="shared" si="61"/>
        <v>0</v>
      </c>
      <c r="T84" s="8">
        <f t="shared" si="61"/>
        <v>0</v>
      </c>
      <c r="U84" s="8">
        <f t="shared" si="61"/>
        <v>0</v>
      </c>
      <c r="V84" s="8">
        <f t="shared" si="61"/>
        <v>0</v>
      </c>
      <c r="W84" s="8">
        <f t="shared" si="61"/>
        <v>0</v>
      </c>
      <c r="X84" s="8">
        <f t="shared" si="61"/>
        <v>0</v>
      </c>
      <c r="Y84" s="8">
        <f t="shared" si="61"/>
        <v>0</v>
      </c>
      <c r="Z84" s="8">
        <f t="shared" si="61"/>
        <v>0</v>
      </c>
      <c r="AA84" s="8">
        <f t="shared" si="61"/>
        <v>0</v>
      </c>
      <c r="AB84" s="8">
        <f t="shared" si="61"/>
        <v>0</v>
      </c>
      <c r="AC84" s="8"/>
      <c r="AD84" s="8">
        <f t="shared" si="30"/>
        <v>26476.271122694547</v>
      </c>
    </row>
    <row r="85" spans="1:30" x14ac:dyDescent="0.25">
      <c r="A85" t="s">
        <v>35</v>
      </c>
      <c r="B85" s="8">
        <f>IF(B$33="JA",Kengetallen!$B$60*(1+Kengetallen!$B$2)^'Business case'!B$32,0)</f>
        <v>0</v>
      </c>
      <c r="C85" s="8">
        <f>IF(C$33="JA",Kengetallen!$B$60*(1+Kengetallen!$B$2)^'Business case'!C$32,0)</f>
        <v>127.5</v>
      </c>
      <c r="D85" s="8">
        <f>IF(D$33="JA",Kengetallen!$B$60*(1+Kengetallen!$B$2)^'Business case'!D$32,0)</f>
        <v>130.05000000000001</v>
      </c>
      <c r="E85" s="8">
        <f>IF(E$33="JA",Kengetallen!$B$60*(1+Kengetallen!$B$2)^'Business case'!E$32,0)</f>
        <v>132.65099999999998</v>
      </c>
      <c r="F85" s="8">
        <f>IF(F$33="JA",Kengetallen!$B$60*(1+Kengetallen!$B$2)^'Business case'!F$32,0)</f>
        <v>135.30402000000001</v>
      </c>
      <c r="G85" s="8">
        <f>IF(G$33="JA",Kengetallen!$B$60*(1+Kengetallen!$B$2)^'Business case'!G$32,0)</f>
        <v>138.0101004</v>
      </c>
      <c r="H85" s="8">
        <f>IF(H$33="JA",Kengetallen!$B$60*(1+Kengetallen!$B$2)^'Business case'!H$32,0)</f>
        <v>140.77030240800002</v>
      </c>
      <c r="I85" s="8">
        <f>IF(I$33="JA",Kengetallen!$B$60*(1+Kengetallen!$B$2)^'Business case'!I$32,0)</f>
        <v>143.58570845615998</v>
      </c>
      <c r="J85" s="8">
        <f>IF(J$33="JA",Kengetallen!$B$60*(1+Kengetallen!$B$2)^'Business case'!J$32,0)</f>
        <v>146.45742262528319</v>
      </c>
      <c r="K85" s="8">
        <f>IF(K$33="JA",Kengetallen!$B$60*(1+Kengetallen!$B$2)^'Business case'!K$32,0)</f>
        <v>149.38657107778886</v>
      </c>
      <c r="L85" s="8">
        <f>IF(L$33="JA",Kengetallen!$B$60*(1+Kengetallen!$B$2)^'Business case'!L$32,0)</f>
        <v>152.37430249934465</v>
      </c>
      <c r="M85" s="8">
        <f>IF(M$33="JA",Kengetallen!$B$60*(1+Kengetallen!$B$2)^'Business case'!M$32,0)</f>
        <v>155.4217885493315</v>
      </c>
      <c r="N85" s="8">
        <f>IF(N$33="JA",Kengetallen!$B$60*(1+Kengetallen!$B$2)^'Business case'!N$32,0)</f>
        <v>158.53022432031815</v>
      </c>
      <c r="O85" s="8">
        <f>IF(O$33="JA",Kengetallen!$B$60*(1+Kengetallen!$B$2)^'Business case'!O$32,0)</f>
        <v>161.7008288067245</v>
      </c>
      <c r="P85" s="8">
        <f>IF(P$33="JA",Kengetallen!$B$60*(1+Kengetallen!$B$2)^'Business case'!P$32,0)</f>
        <v>164.93484538285901</v>
      </c>
      <c r="Q85" s="8">
        <f>IF(Q$33="JA",Kengetallen!$B$60*(1+Kengetallen!$B$2)^'Business case'!Q$32,0)</f>
        <v>168.23354229051614</v>
      </c>
      <c r="R85" s="8">
        <f>IF(R$33="JA",Kengetallen!$B$60*(1+Kengetallen!$B$2)^'Business case'!R$32,0)</f>
        <v>0</v>
      </c>
      <c r="S85" s="8">
        <f>IF(S$33="JA",Kengetallen!$B$60*(1+Kengetallen!$B$2)^'Business case'!S$32,0)</f>
        <v>0</v>
      </c>
      <c r="T85" s="8">
        <f>IF(T$33="JA",Kengetallen!$B$60*(1+Kengetallen!$B$2)^'Business case'!T$32,0)</f>
        <v>0</v>
      </c>
      <c r="U85" s="8">
        <f>IF(U$33="JA",Kengetallen!$B$60*(1+Kengetallen!$B$2)^'Business case'!U$32,0)</f>
        <v>0</v>
      </c>
      <c r="V85" s="8">
        <f>IF(V$33="JA",Kengetallen!$B$60*(1+Kengetallen!$B$2)^'Business case'!V$32,0)</f>
        <v>0</v>
      </c>
      <c r="W85" s="8">
        <f>IF(W$33="JA",Kengetallen!$B$60*(1+Kengetallen!$B$2)^'Business case'!W$32,0)</f>
        <v>0</v>
      </c>
      <c r="X85" s="8">
        <f>IF(X$33="JA",Kengetallen!$B$60*(1+Kengetallen!$B$2)^'Business case'!X$32,0)</f>
        <v>0</v>
      </c>
      <c r="Y85" s="8">
        <f>IF(Y$33="JA",Kengetallen!$B$60*(1+Kengetallen!$B$2)^'Business case'!Y$32,0)</f>
        <v>0</v>
      </c>
      <c r="Z85" s="8">
        <f>IF(Z$33="JA",Kengetallen!$B$60*(1+Kengetallen!$B$2)^'Business case'!Z$32,0)</f>
        <v>0</v>
      </c>
      <c r="AA85" s="8">
        <f>IF(AA$33="JA",Kengetallen!$B$60*(1+Kengetallen!$B$2)^'Business case'!AA$32,0)</f>
        <v>0</v>
      </c>
      <c r="AB85" s="8">
        <f>IF(AB$33="JA",Kengetallen!$B$60*(1+Kengetallen!$B$2)^'Business case'!AB$32,0)</f>
        <v>0</v>
      </c>
      <c r="AC85" s="8"/>
      <c r="AD85" s="8">
        <f t="shared" si="30"/>
        <v>2204.9106568163261</v>
      </c>
    </row>
    <row r="86" spans="1:30" x14ac:dyDescent="0.25">
      <c r="A86" t="s">
        <v>54</v>
      </c>
      <c r="B86" s="10">
        <f>IF(B$33="JA",($D$19+$C$7)*(1+Kengetallen!$B$19)^B32,0)</f>
        <v>0</v>
      </c>
      <c r="C86" s="10">
        <f>IF(C$33="JA",($D$19+$C$7)*(1+Kengetallen!$B$19)^C32,0)</f>
        <v>1636.2104680851064</v>
      </c>
      <c r="D86" s="10">
        <f>IF(D$33="JA",($D$19+$C$7)*(1+Kengetallen!$B$19)^D32,0)</f>
        <v>1624.7569948085104</v>
      </c>
      <c r="E86" s="10">
        <f>IF(E$33="JA",($D$19+$C$7)*(1+Kengetallen!$B$19)^E32,0)</f>
        <v>1613.383695844851</v>
      </c>
      <c r="F86" s="10">
        <f>IF(F$33="JA",($D$19+$C$7)*(1+Kengetallen!$B$19)^F32,0)</f>
        <v>1602.090009973937</v>
      </c>
      <c r="G86" s="10">
        <f>IF(G$33="JA",($D$19+$C$7)*(1+Kengetallen!$B$19)^G32,0)</f>
        <v>1590.8753799041194</v>
      </c>
      <c r="H86" s="10">
        <f>IF(H$33="JA",($D$19+$C$7)*(1+Kengetallen!$B$19)^H32,0)</f>
        <v>1579.7392522447904</v>
      </c>
      <c r="I86" s="10">
        <f>IF(I$33="JA",($D$19+$C$7)*(1+Kengetallen!$B$19)^I32,0)</f>
        <v>1568.6810774790767</v>
      </c>
      <c r="J86" s="10">
        <f>IF(J$33="JA",($D$19+$C$7)*(1+Kengetallen!$B$19)^J32,0)</f>
        <v>1557.7003099367232</v>
      </c>
      <c r="K86" s="10">
        <f>IF(K$33="JA",($D$19+$C$7)*(1+Kengetallen!$B$19)^K32,0)</f>
        <v>1546.7964077671661</v>
      </c>
      <c r="L86" s="10">
        <f>IF(L$33="JA",($D$19+$C$7)*(1+Kengetallen!$B$19)^L32,0)</f>
        <v>1535.968832912796</v>
      </c>
      <c r="M86" s="10">
        <f>IF(M$33="JA",($D$19+$C$7)*(1+Kengetallen!$B$19)^M32,0)</f>
        <v>1525.2170510824062</v>
      </c>
      <c r="N86" s="10">
        <f>IF(N$33="JA",($D$19+$C$7)*(1+Kengetallen!$B$19)^N32,0)</f>
        <v>1514.5405317248294</v>
      </c>
      <c r="O86" s="10">
        <f>IF(O$33="JA",($D$19+$C$7)*(1+Kengetallen!$B$19)^O32,0)</f>
        <v>1503.9387480027556</v>
      </c>
      <c r="P86" s="10">
        <f>IF(P$33="JA",($D$19+$C$7)*(1+Kengetallen!$B$19)^P32,0)</f>
        <v>1493.4111767667364</v>
      </c>
      <c r="Q86" s="10">
        <f>IF(Q$33="JA",($D$19+$C$7)*(1+Kengetallen!$B$19)^Q32,0)</f>
        <v>1482.9572985293692</v>
      </c>
      <c r="R86" s="10">
        <f>IF(R$33="JA",($D$19+$C$7)*(1+Kengetallen!$B$19)^R32,0)</f>
        <v>0</v>
      </c>
      <c r="S86" s="10">
        <f>IF(S$33="JA",($D$19+$C$7)*(1+Kengetallen!$B$19)^S32,0)</f>
        <v>0</v>
      </c>
      <c r="T86" s="10">
        <f>IF(T$33="JA",($D$19+$C$7)*(1+Kengetallen!$B$19)^T32,0)</f>
        <v>0</v>
      </c>
      <c r="U86" s="10">
        <f>IF(U$33="JA",($D$19+$C$7)*(1+Kengetallen!$B$19)^U32,0)</f>
        <v>0</v>
      </c>
      <c r="V86" s="10">
        <f>IF(V$33="JA",($D$19+$C$7)*(1+Kengetallen!$B$19)^V32,0)</f>
        <v>0</v>
      </c>
      <c r="W86" s="10">
        <f>IF(W$33="JA",($D$19+$C$7)*(1+Kengetallen!$B$19)^W32,0)</f>
        <v>0</v>
      </c>
      <c r="X86" s="10">
        <f>IF(X$33="JA",($D$19+$C$7)*(1+Kengetallen!$B$19)^X32,0)</f>
        <v>0</v>
      </c>
      <c r="Y86" s="10">
        <f>IF(Y$33="JA",($D$19+$C$7)*(1+Kengetallen!$B$19)^Y32,0)</f>
        <v>0</v>
      </c>
      <c r="Z86" s="10">
        <f>IF(Z$33="JA",($D$19+$C$7)*(1+Kengetallen!$B$19)^Z32,0)</f>
        <v>0</v>
      </c>
      <c r="AA86" s="10">
        <f>IF(AA$33="JA",($D$19+$C$7)*(1+Kengetallen!$B$19)^AA32,0)</f>
        <v>0</v>
      </c>
      <c r="AB86" s="10">
        <f>IF(AB$33="JA",($D$19+$C$7)*(1+Kengetallen!$B$19)^AB32,0)</f>
        <v>0</v>
      </c>
      <c r="AC86" s="10"/>
      <c r="AD86" s="10">
        <f t="shared" si="30"/>
        <v>23376.267235063176</v>
      </c>
    </row>
    <row r="87" spans="1:30" x14ac:dyDescent="0.25">
      <c r="A87" t="s">
        <v>56</v>
      </c>
      <c r="B87" s="10">
        <f>IF(B$33="JA",B86*$D$16,0)</f>
        <v>0</v>
      </c>
      <c r="C87" s="10">
        <f t="shared" ref="C87:AB87" si="62">IF(C$33="JA",C86*$D$16,0)</f>
        <v>654.48418723404257</v>
      </c>
      <c r="D87" s="10">
        <f t="shared" si="62"/>
        <v>649.90279792340425</v>
      </c>
      <c r="E87" s="10">
        <f t="shared" si="62"/>
        <v>645.35347833794049</v>
      </c>
      <c r="F87" s="10">
        <f t="shared" si="62"/>
        <v>640.83600398957481</v>
      </c>
      <c r="G87" s="10">
        <f t="shared" si="62"/>
        <v>636.35015196164784</v>
      </c>
      <c r="H87" s="10">
        <f t="shared" si="62"/>
        <v>631.89570089791619</v>
      </c>
      <c r="I87" s="10">
        <f t="shared" si="62"/>
        <v>627.47243099163074</v>
      </c>
      <c r="J87" s="10">
        <f t="shared" si="62"/>
        <v>623.08012397468929</v>
      </c>
      <c r="K87" s="10">
        <f t="shared" si="62"/>
        <v>618.71856310686644</v>
      </c>
      <c r="L87" s="10">
        <f t="shared" si="62"/>
        <v>614.38753316511838</v>
      </c>
      <c r="M87" s="10">
        <f t="shared" si="62"/>
        <v>610.08682043296255</v>
      </c>
      <c r="N87" s="10">
        <f t="shared" si="62"/>
        <v>605.81621268993183</v>
      </c>
      <c r="O87" s="10">
        <f t="shared" si="62"/>
        <v>601.57549920110228</v>
      </c>
      <c r="P87" s="10">
        <f t="shared" si="62"/>
        <v>597.36447070669453</v>
      </c>
      <c r="Q87" s="10">
        <f t="shared" si="62"/>
        <v>593.18291941174766</v>
      </c>
      <c r="R87" s="10">
        <f t="shared" si="62"/>
        <v>0</v>
      </c>
      <c r="S87" s="10">
        <f t="shared" si="62"/>
        <v>0</v>
      </c>
      <c r="T87" s="10">
        <f t="shared" si="62"/>
        <v>0</v>
      </c>
      <c r="U87" s="10">
        <f t="shared" si="62"/>
        <v>0</v>
      </c>
      <c r="V87" s="10">
        <f t="shared" si="62"/>
        <v>0</v>
      </c>
      <c r="W87" s="10">
        <f t="shared" si="62"/>
        <v>0</v>
      </c>
      <c r="X87" s="10">
        <f t="shared" si="62"/>
        <v>0</v>
      </c>
      <c r="Y87" s="10">
        <f t="shared" si="62"/>
        <v>0</v>
      </c>
      <c r="Z87" s="10">
        <f t="shared" si="62"/>
        <v>0</v>
      </c>
      <c r="AA87" s="10">
        <f t="shared" si="62"/>
        <v>0</v>
      </c>
      <c r="AB87" s="10">
        <f t="shared" si="62"/>
        <v>0</v>
      </c>
      <c r="AC87" s="10"/>
      <c r="AD87" s="10">
        <f t="shared" si="30"/>
        <v>9350.5068940252695</v>
      </c>
    </row>
    <row r="88" spans="1:30" x14ac:dyDescent="0.25">
      <c r="A88" t="s">
        <v>58</v>
      </c>
      <c r="B88" s="10">
        <f>IF(B$33="JA",($C$2+B74-B87)*Prijzen!D$62,0)</f>
        <v>0</v>
      </c>
      <c r="C88" s="10">
        <f>IF(C$33="JA",($C$2+C74-C87)*Prijzen!E$62,0)</f>
        <v>1915.6867159148937</v>
      </c>
      <c r="D88" s="10">
        <f>IF(D$33="JA",($C$2+D74-D87)*Prijzen!F$62,0)</f>
        <v>1918.6188050737023</v>
      </c>
      <c r="E88" s="10">
        <f>IF(E$33="JA",($C$2+E74-E87)*Prijzen!G$62,0)</f>
        <v>1651.3151613822181</v>
      </c>
      <c r="F88" s="10">
        <f>IF(F$33="JA",($C$2+F74-F87)*Prijzen!H$62,0)</f>
        <v>1383.1779913562852</v>
      </c>
      <c r="G88" s="10">
        <f>IF(G$33="JA",($C$2+G74-G87)*Prijzen!I$62,0)</f>
        <v>1114.215975689084</v>
      </c>
      <c r="H88" s="10">
        <f>IF(H$33="JA",($C$2+H74-H87)*Prijzen!J$62,0)</f>
        <v>844.43771438688157</v>
      </c>
      <c r="I88" s="10">
        <f>IF(I$33="JA",($C$2+I74-I87)*Prijzen!K$62,0)</f>
        <v>0</v>
      </c>
      <c r="J88" s="10">
        <f>IF(J$33="JA",($C$2+J74-J87)*Prijzen!L$62,0)</f>
        <v>0</v>
      </c>
      <c r="K88" s="10">
        <f>IF(K$33="JA",($C$2+K74-K87)*Prijzen!M$62,0)</f>
        <v>0</v>
      </c>
      <c r="L88" s="10">
        <f>IF(L$33="JA",($C$2+L74-L87)*Prijzen!N$62,0)</f>
        <v>0</v>
      </c>
      <c r="M88" s="10">
        <f>IF(M$33="JA",($C$2+M74-M87)*Prijzen!O$62,0)</f>
        <v>0</v>
      </c>
      <c r="N88" s="10">
        <f>IF(N$33="JA",($C$2+N74-N87)*Prijzen!P$62,0)</f>
        <v>0</v>
      </c>
      <c r="O88" s="10">
        <f>IF(O$33="JA",($C$2+O74-O87)*Prijzen!Q$62,0)</f>
        <v>0</v>
      </c>
      <c r="P88" s="10">
        <f>IF(P$33="JA",($C$2+P74-P87)*Prijzen!R$62,0)</f>
        <v>0</v>
      </c>
      <c r="Q88" s="10">
        <f>IF(Q$33="JA",($C$2+Q74-Q87)*Prijzen!S$62,0)</f>
        <v>0</v>
      </c>
      <c r="R88" s="10">
        <f>IF(R$33="JA",($C$2+R74-R87)*Prijzen!T$62,0)</f>
        <v>0</v>
      </c>
      <c r="S88" s="10">
        <f>IF(S$33="JA",($C$2+S74-S87)*Prijzen!U$62,0)</f>
        <v>0</v>
      </c>
      <c r="T88" s="10">
        <f>IF(T$33="JA",($C$2+T74-T87)*Prijzen!V$62,0)</f>
        <v>0</v>
      </c>
      <c r="U88" s="10">
        <f>IF(U$33="JA",($C$2+U74-U87)*Prijzen!W$62,0)</f>
        <v>0</v>
      </c>
      <c r="V88" s="10">
        <f>IF(V$33="JA",($C$2+V74-V87)*Prijzen!X$62,0)</f>
        <v>0</v>
      </c>
      <c r="W88" s="10">
        <f>IF(W$33="JA",($C$2+W74-W87)*Prijzen!Y$62,0)</f>
        <v>0</v>
      </c>
      <c r="X88" s="10">
        <f>IF(X$33="JA",($C$2+X74-X87)*Prijzen!Z$62,0)</f>
        <v>0</v>
      </c>
      <c r="Y88" s="10">
        <f>IF(Y$33="JA",($C$2+Y74-Y87)*Prijzen!AA$62,0)</f>
        <v>0</v>
      </c>
      <c r="Z88" s="10">
        <f>IF(Z$33="JA",($C$2+Z74-Z87)*Prijzen!AB$62,0)</f>
        <v>0</v>
      </c>
      <c r="AA88" s="10">
        <f>IF(AA$33="JA",($C$2+AA74-AA87)*Prijzen!AC$62,0)</f>
        <v>0</v>
      </c>
      <c r="AB88" s="10">
        <f>IF(AB$33="JA",($C$2+AB74-AB87)*Prijzen!AD$62,0)</f>
        <v>0</v>
      </c>
      <c r="AC88" s="10"/>
      <c r="AD88" s="10">
        <f t="shared" si="30"/>
        <v>8827.452363803066</v>
      </c>
    </row>
    <row r="89" spans="1:30" x14ac:dyDescent="0.25">
      <c r="A89" t="s">
        <v>55</v>
      </c>
      <c r="B89" s="10">
        <f>IF(B$33="JA",MIN((B86-B87),B88),0)</f>
        <v>0</v>
      </c>
      <c r="C89" s="10">
        <f>IF(C$33="JA",MIN((C86-C87),C88),0)</f>
        <v>981.72628085106385</v>
      </c>
      <c r="D89" s="10">
        <f t="shared" ref="D89" si="63">IF(D$33="JA",MIN((D86-D87),D88),0)</f>
        <v>974.85419688510615</v>
      </c>
      <c r="E89" s="10">
        <f t="shared" ref="E89" si="64">IF(E$33="JA",MIN((E86-E87),E88),0)</f>
        <v>968.0302175069105</v>
      </c>
      <c r="F89" s="10">
        <f t="shared" ref="F89" si="65">IF(F$33="JA",MIN((F86-F87),F88),0)</f>
        <v>961.25400598436215</v>
      </c>
      <c r="G89" s="10">
        <f t="shared" ref="G89" si="66">IF(G$33="JA",MIN((G86-G87),G88),0)</f>
        <v>954.52522794247159</v>
      </c>
      <c r="H89" s="10">
        <f t="shared" ref="H89" si="67">IF(H$33="JA",MIN((H86-H87),H88),0)</f>
        <v>844.43771438688157</v>
      </c>
      <c r="I89" s="10">
        <f t="shared" ref="I89" si="68">IF(I$33="JA",MIN((I86-I87),I88),0)</f>
        <v>0</v>
      </c>
      <c r="J89" s="10">
        <f t="shared" ref="J89" si="69">IF(J$33="JA",MIN((J86-J87),J88),0)</f>
        <v>0</v>
      </c>
      <c r="K89" s="10">
        <f t="shared" ref="K89" si="70">IF(K$33="JA",MIN((K86-K87),K88),0)</f>
        <v>0</v>
      </c>
      <c r="L89" s="10">
        <f t="shared" ref="L89" si="71">IF(L$33="JA",MIN((L86-L87),L88),0)</f>
        <v>0</v>
      </c>
      <c r="M89" s="10">
        <f t="shared" ref="M89" si="72">IF(M$33="JA",MIN((M86-M87),M88),0)</f>
        <v>0</v>
      </c>
      <c r="N89" s="10">
        <f t="shared" ref="N89" si="73">IF(N$33="JA",MIN((N86-N87),N88),0)</f>
        <v>0</v>
      </c>
      <c r="O89" s="10">
        <f t="shared" ref="O89" si="74">IF(O$33="JA",MIN((O86-O87),O88),0)</f>
        <v>0</v>
      </c>
      <c r="P89" s="10">
        <f t="shared" ref="P89" si="75">IF(P$33="JA",MIN((P86-P87),P88),0)</f>
        <v>0</v>
      </c>
      <c r="Q89" s="10">
        <f t="shared" ref="Q89" si="76">IF(Q$33="JA",MIN((Q86-Q87),Q88),0)</f>
        <v>0</v>
      </c>
      <c r="R89" s="10">
        <f t="shared" ref="R89" si="77">IF(R$33="JA",MIN((R86-R87),R88),0)</f>
        <v>0</v>
      </c>
      <c r="S89" s="10">
        <f t="shared" ref="S89" si="78">IF(S$33="JA",MIN((S86-S87),S88),0)</f>
        <v>0</v>
      </c>
      <c r="T89" s="10">
        <f t="shared" ref="T89" si="79">IF(T$33="JA",MIN((T86-T87),T88),0)</f>
        <v>0</v>
      </c>
      <c r="U89" s="10">
        <f t="shared" ref="U89" si="80">IF(U$33="JA",MIN((U86-U87),U88),0)</f>
        <v>0</v>
      </c>
      <c r="V89" s="10">
        <f t="shared" ref="V89" si="81">IF(V$33="JA",MIN((V86-V87),V88),0)</f>
        <v>0</v>
      </c>
      <c r="W89" s="10">
        <f t="shared" ref="W89" si="82">IF(W$33="JA",MIN((W86-W87),W88),0)</f>
        <v>0</v>
      </c>
      <c r="X89" s="10">
        <f t="shared" ref="X89" si="83">IF(X$33="JA",MIN((X86-X87),X88),0)</f>
        <v>0</v>
      </c>
      <c r="Y89" s="10">
        <f t="shared" ref="Y89" si="84">IF(Y$33="JA",MIN((Y86-Y87),Y88),0)</f>
        <v>0</v>
      </c>
      <c r="Z89" s="10">
        <f t="shared" ref="Z89" si="85">IF(Z$33="JA",MIN((Z86-Z87),Z88),0)</f>
        <v>0</v>
      </c>
      <c r="AA89" s="10">
        <f t="shared" ref="AA89" si="86">IF(AA$33="JA",MIN((AA86-AA87),AA88),0)</f>
        <v>0</v>
      </c>
      <c r="AB89" s="10">
        <f t="shared" ref="AB89" si="87">IF(AB$33="JA",MIN((AB86-AB87),AB88),0)</f>
        <v>0</v>
      </c>
      <c r="AC89" s="10"/>
      <c r="AD89" s="10">
        <f t="shared" si="30"/>
        <v>5684.8276435567959</v>
      </c>
    </row>
    <row r="90" spans="1:30" x14ac:dyDescent="0.25">
      <c r="A90" t="s">
        <v>57</v>
      </c>
      <c r="B90" s="10">
        <f>IF(B$33="JA",B86-B87-B89,0)</f>
        <v>0</v>
      </c>
      <c r="C90" s="10">
        <f>IF(C$33="JA",C86-C87-C89,0)</f>
        <v>0</v>
      </c>
      <c r="D90" s="10">
        <f t="shared" ref="D90" si="88">IF(D$33="JA",D86-D87-D89,0)</f>
        <v>0</v>
      </c>
      <c r="E90" s="10">
        <f t="shared" ref="E90" si="89">IF(E$33="JA",E86-E87-E89,0)</f>
        <v>0</v>
      </c>
      <c r="F90" s="10">
        <f t="shared" ref="F90" si="90">IF(F$33="JA",F86-F87-F89,0)</f>
        <v>0</v>
      </c>
      <c r="G90" s="10">
        <f t="shared" ref="G90" si="91">IF(G$33="JA",G86-G87-G89,0)</f>
        <v>0</v>
      </c>
      <c r="H90" s="10">
        <f t="shared" ref="H90" si="92">IF(H$33="JA",H86-H87-H89,0)</f>
        <v>103.4058369599926</v>
      </c>
      <c r="I90" s="10">
        <f t="shared" ref="I90" si="93">IF(I$33="JA",I86-I87-I89,0)</f>
        <v>941.208646487446</v>
      </c>
      <c r="J90" s="10">
        <f t="shared" ref="J90" si="94">IF(J$33="JA",J86-J87-J89,0)</f>
        <v>934.62018596203393</v>
      </c>
      <c r="K90" s="10">
        <f t="shared" ref="K90" si="95">IF(K$33="JA",K86-K87-K89,0)</f>
        <v>928.07784466029966</v>
      </c>
      <c r="L90" s="10">
        <f t="shared" ref="L90" si="96">IF(L$33="JA",L86-L87-L89,0)</f>
        <v>921.58129974767758</v>
      </c>
      <c r="M90" s="10">
        <f t="shared" ref="M90" si="97">IF(M$33="JA",M86-M87-M89,0)</f>
        <v>915.13023064944366</v>
      </c>
      <c r="N90" s="10">
        <f t="shared" ref="N90" si="98">IF(N$33="JA",N86-N87-N89,0)</f>
        <v>908.72431903489758</v>
      </c>
      <c r="O90" s="10">
        <f t="shared" ref="O90" si="99">IF(O$33="JA",O86-O87-O89,0)</f>
        <v>902.3632488016533</v>
      </c>
      <c r="P90" s="10">
        <f t="shared" ref="P90" si="100">IF(P$33="JA",P86-P87-P89,0)</f>
        <v>896.04670606004186</v>
      </c>
      <c r="Q90" s="10">
        <f t="shared" ref="Q90" si="101">IF(Q$33="JA",Q86-Q87-Q89,0)</f>
        <v>889.77437911762149</v>
      </c>
      <c r="R90" s="10">
        <f t="shared" ref="R90" si="102">IF(R$33="JA",R86-R87-R89,0)</f>
        <v>0</v>
      </c>
      <c r="S90" s="10">
        <f t="shared" ref="S90" si="103">IF(S$33="JA",S86-S87-S89,0)</f>
        <v>0</v>
      </c>
      <c r="T90" s="10">
        <f t="shared" ref="T90" si="104">IF(T$33="JA",T86-T87-T89,0)</f>
        <v>0</v>
      </c>
      <c r="U90" s="10">
        <f t="shared" ref="U90" si="105">IF(U$33="JA",U86-U87-U89,0)</f>
        <v>0</v>
      </c>
      <c r="V90" s="10">
        <f t="shared" ref="V90" si="106">IF(V$33="JA",V86-V87-V89,0)</f>
        <v>0</v>
      </c>
      <c r="W90" s="10">
        <f t="shared" ref="W90" si="107">IF(W$33="JA",W86-W87-W89,0)</f>
        <v>0</v>
      </c>
      <c r="X90" s="10">
        <f t="shared" ref="X90" si="108">IF(X$33="JA",X86-X87-X89,0)</f>
        <v>0</v>
      </c>
      <c r="Y90" s="10">
        <f t="shared" ref="Y90" si="109">IF(Y$33="JA",Y86-Y87-Y89,0)</f>
        <v>0</v>
      </c>
      <c r="Z90" s="10">
        <f t="shared" ref="Z90" si="110">IF(Z$33="JA",Z86-Z87-Z89,0)</f>
        <v>0</v>
      </c>
      <c r="AA90" s="10">
        <f t="shared" ref="AA90" si="111">IF(AA$33="JA",AA86-AA87-AA89,0)</f>
        <v>0</v>
      </c>
      <c r="AB90" s="10">
        <f t="shared" ref="AB90" si="112">IF(AB$33="JA",AB86-AB87-AB89,0)</f>
        <v>0</v>
      </c>
      <c r="AC90" s="10"/>
      <c r="AD90" s="10">
        <f t="shared" si="30"/>
        <v>8340.9326974811083</v>
      </c>
    </row>
    <row r="91" spans="1:30" x14ac:dyDescent="0.25">
      <c r="A91" t="s">
        <v>62</v>
      </c>
      <c r="B91" s="16">
        <f>IF(B$33="JA",B92/B86,0)</f>
        <v>0</v>
      </c>
      <c r="C91" s="16">
        <f>IF(C$33="JA",C92/C86,0)</f>
        <v>0.275890183279209</v>
      </c>
      <c r="D91" s="16">
        <f t="shared" ref="D91" si="113">IF(D$33="JA",D92/D86,0)</f>
        <v>0.24897066227602277</v>
      </c>
      <c r="E91" s="16">
        <f t="shared" ref="E91" si="114">IF(E$33="JA",E92/E86,0)</f>
        <v>0.23621624314417644</v>
      </c>
      <c r="F91" s="16">
        <f t="shared" ref="F91" si="115">IF(F$33="JA",F92/F86,0)</f>
        <v>0.22470481824054794</v>
      </c>
      <c r="G91" s="16">
        <f t="shared" ref="G91" si="116">IF(G$33="JA",G92/G86,0)</f>
        <v>0.22722462021985301</v>
      </c>
      <c r="H91" s="16">
        <f t="shared" ref="H91" si="117">IF(H$33="JA",H92/H86,0)</f>
        <v>0.22587945796582798</v>
      </c>
      <c r="I91" s="16">
        <f t="shared" ref="I91" si="118">IF(I$33="JA",I92/I86,0)</f>
        <v>0.15943753517601439</v>
      </c>
      <c r="J91" s="16">
        <f t="shared" ref="J91" si="119">IF(J$33="JA",J92/J86,0)</f>
        <v>0.16024283882442639</v>
      </c>
      <c r="K91" s="16">
        <f t="shared" ref="K91" si="120">IF(K$33="JA",K92/K86,0)</f>
        <v>0.16106424854580667</v>
      </c>
      <c r="L91" s="16">
        <f t="shared" ref="L91" si="121">IF(L$33="JA",L92/L86,0)</f>
        <v>0.1619020864616145</v>
      </c>
      <c r="M91" s="16">
        <f t="shared" ref="M91" si="122">IF(M$33="JA",M92/M86,0)</f>
        <v>0.16275668113573852</v>
      </c>
      <c r="N91" s="16">
        <f t="shared" ref="N91" si="123">IF(N$33="JA",N92/N86,0)</f>
        <v>0.16362836770334505</v>
      </c>
      <c r="O91" s="16">
        <f t="shared" ref="O91" si="124">IF(O$33="JA",O92/O86,0)</f>
        <v>0.16451748800230365</v>
      </c>
      <c r="P91" s="16">
        <f t="shared" ref="P91" si="125">IF(P$33="JA",P92/P86,0)</f>
        <v>0.16542439070724146</v>
      </c>
      <c r="Q91" s="16">
        <f t="shared" ref="Q91" si="126">IF(Q$33="JA",Q92/Q86,0)</f>
        <v>0.16634943146627801</v>
      </c>
      <c r="R91" s="16">
        <f t="shared" ref="R91" si="127">IF(R$33="JA",R92/R86,0)</f>
        <v>0</v>
      </c>
      <c r="S91" s="16">
        <f t="shared" ref="S91" si="128">IF(S$33="JA",S92/S86,0)</f>
        <v>0</v>
      </c>
      <c r="T91" s="16">
        <f t="shared" ref="T91" si="129">IF(T$33="JA",T92/T86,0)</f>
        <v>0</v>
      </c>
      <c r="U91" s="16">
        <f t="shared" ref="U91" si="130">IF(U$33="JA",U92/U86,0)</f>
        <v>0</v>
      </c>
      <c r="V91" s="16">
        <f t="shared" ref="V91" si="131">IF(V$33="JA",V92/V86,0)</f>
        <v>0</v>
      </c>
      <c r="W91" s="16">
        <f t="shared" ref="W91" si="132">IF(W$33="JA",W92/W86,0)</f>
        <v>0</v>
      </c>
      <c r="X91" s="16">
        <f t="shared" ref="X91" si="133">IF(X$33="JA",X92/X86,0)</f>
        <v>0</v>
      </c>
      <c r="Y91" s="16">
        <f t="shared" ref="Y91" si="134">IF(Y$33="JA",Y92/Y86,0)</f>
        <v>0</v>
      </c>
      <c r="Z91" s="16">
        <f t="shared" ref="Z91" si="135">IF(Z$33="JA",Z92/Z86,0)</f>
        <v>0</v>
      </c>
      <c r="AA91" s="16">
        <f t="shared" ref="AA91" si="136">IF(AA$33="JA",AA92/AA86,0)</f>
        <v>0</v>
      </c>
      <c r="AB91" s="16">
        <f t="shared" ref="AB91" si="137">IF(AB$33="JA",AB92/AB86,0)</f>
        <v>0</v>
      </c>
      <c r="AC91" s="16"/>
      <c r="AD91" s="16">
        <f t="shared" si="30"/>
        <v>2.9042090531484055</v>
      </c>
    </row>
    <row r="92" spans="1:30" x14ac:dyDescent="0.25">
      <c r="A92" t="s">
        <v>59</v>
      </c>
      <c r="B92" s="17">
        <f>IF(B$33="JA",B87*B77+B89*B77+B90*VLOOKUP($C$8,Prijzen!$B$65:$T$68,B$31,FALSE),0)</f>
        <v>0</v>
      </c>
      <c r="C92" s="17">
        <f>IF(C$33="JA",C87*C77+C89*C77+C90*VLOOKUP($C$8,Prijzen!$B$65:$T$68,C$31,FALSE),0)</f>
        <v>451.41440592336039</v>
      </c>
      <c r="D92" s="17">
        <f>IF(D$33="JA",D87*D77+D89*D77+D90*VLOOKUP($C$8,Prijzen!$B$65:$T$68,D$31,FALSE),0)</f>
        <v>404.51682503507533</v>
      </c>
      <c r="E92" s="17">
        <f>IF(E$33="JA",E87*E77+E89*E77+E90*VLOOKUP($C$8,Prijzen!$B$65:$T$68,E$31,FALSE),0)</f>
        <v>381.10743538253735</v>
      </c>
      <c r="F92" s="17">
        <f>IF(F$33="JA",F87*F77+F89*F77+F90*VLOOKUP($C$8,Prijzen!$B$65:$T$68,F$31,FALSE),0)</f>
        <v>359.99734449619115</v>
      </c>
      <c r="G92" s="17">
        <f>IF(G$33="JA",G87*G77+G89*G77+G90*VLOOKUP($C$8,Prijzen!$B$65:$T$68,G$31,FALSE),0)</f>
        <v>361.4860540158279</v>
      </c>
      <c r="H92" s="17">
        <f>IF(H$33="JA",H87*H77+H89*H77+H90*VLOOKUP($C$8,Prijzen!$B$65:$T$68,H$31,FALSE),0)</f>
        <v>356.83064602439566</v>
      </c>
      <c r="I92" s="17">
        <f>IF(I$33="JA",I87*I77+I89*I77+I90*VLOOKUP($C$8,Prijzen!$B$65:$T$68,I$31,FALSE),0)</f>
        <v>250.10664447051843</v>
      </c>
      <c r="J92" s="17">
        <f>IF(J$33="JA",J87*J77+J89*J77+J90*VLOOKUP($C$8,Prijzen!$B$65:$T$68,J$31,FALSE),0)</f>
        <v>249.61031970194938</v>
      </c>
      <c r="K92" s="17">
        <f>IF(K$33="JA",K87*K77+K89*K77+K90*VLOOKUP($C$8,Prijzen!$B$65:$T$68,K$31,FALSE),0)</f>
        <v>249.13360107037175</v>
      </c>
      <c r="L92" s="17">
        <f>IF(L$33="JA",L87*L77+L89*L77+L90*VLOOKUP($C$8,Prijzen!$B$65:$T$68,L$31,FALSE),0)</f>
        <v>248.67655878859262</v>
      </c>
      <c r="M92" s="17">
        <f>IF(M$33="JA",M87*M77+M89*M77+M90*VLOOKUP($C$8,Prijzen!$B$65:$T$68,M$31,FALSE),0)</f>
        <v>248.2392652458106</v>
      </c>
      <c r="N92" s="17">
        <f>IF(N$33="JA",N87*N77+N89*N77+N90*VLOOKUP($C$8,Prijzen!$B$65:$T$68,N$31,FALSE),0)</f>
        <v>247.8217950266901</v>
      </c>
      <c r="O92" s="17">
        <f>IF(O$33="JA",O87*O77+O89*O77+O90*VLOOKUP($C$8,Prijzen!$B$65:$T$68,O$31,FALSE),0)</f>
        <v>247.42422493074292</v>
      </c>
      <c r="P92" s="17">
        <f>IF(P$33="JA",P87*P77+P89*P77+P90*VLOOKUP($C$8,Prijzen!$B$65:$T$68,P$31,FALSE),0)</f>
        <v>247.04663399202184</v>
      </c>
      <c r="Q92" s="17">
        <f>IF(Q$33="JA",Q87*Q77+Q89*Q77+Q90*VLOOKUP($C$8,Prijzen!$B$65:$T$68,Q$31,FALSE),0)</f>
        <v>246.68910349912807</v>
      </c>
      <c r="R92" s="17">
        <f>IF(R$33="JA",R87*R77+R89*R77+R90*VLOOKUP($C$8,Prijzen!$B$65:$T$68,R$31,FALSE),0)</f>
        <v>0</v>
      </c>
      <c r="S92" s="17">
        <f>IF(S$33="JA",S87*S77+S89*S77+S90*VLOOKUP($C$8,Prijzen!$B$65:$T$68,S$31,FALSE),0)</f>
        <v>0</v>
      </c>
      <c r="T92" s="17">
        <f>IF(T$33="JA",T87*T77+T89*T77+T90*VLOOKUP($C$8,Prijzen!$B$65:$T$68,T$31,FALSE),0)</f>
        <v>0</v>
      </c>
      <c r="U92" s="17">
        <f>IF(U$33="JA",U87*U77+U89*U77+U90*VLOOKUP($C$8,Prijzen!$B$65:$T$68,U$31,FALSE),0)</f>
        <v>0</v>
      </c>
      <c r="V92" s="17">
        <f>IF(V$33="JA",V87*V77+V89*V77+V90*VLOOKUP($C$8,Prijzen!$B$65:$T$68,V$31,FALSE),0)</f>
        <v>0</v>
      </c>
      <c r="W92" s="17">
        <f>IF(W$33="JA",W87*W77+W89*W77+W90*VLOOKUP($C$8,Prijzen!$B$65:$T$68,W$31,FALSE),0)</f>
        <v>0</v>
      </c>
      <c r="X92" s="17">
        <f>IF(X$33="JA",X87*X77+X89*X77+X90*VLOOKUP($C$8,Prijzen!$B$65:$T$68,X$31,FALSE),0)</f>
        <v>0</v>
      </c>
      <c r="Y92" s="17">
        <f>IF(Y$33="JA",Y87*Y77+Y89*Y77+Y90*VLOOKUP($C$8,Prijzen!$B$65:$T$68,Y$31,FALSE),0)</f>
        <v>0</v>
      </c>
      <c r="Z92" s="17">
        <f>IF(Z$33="JA",Z87*Z77+Z89*Z77+Z90*VLOOKUP($C$8,Prijzen!$B$65:$T$68,Z$31,FALSE),0)</f>
        <v>0</v>
      </c>
      <c r="AA92" s="17">
        <f>IF(AA$33="JA",AA87*AA77+AA89*AA77+AA90*VLOOKUP($C$8,Prijzen!$B$65:$T$68,AA$31,FALSE),0)</f>
        <v>0</v>
      </c>
      <c r="AB92" s="17">
        <f>IF(AB$33="JA",AB87*AB77+AB89*AB77+AB90*VLOOKUP($C$8,Prijzen!$B$65:$T$68,AB$31,FALSE),0)</f>
        <v>0</v>
      </c>
      <c r="AC92" s="17"/>
      <c r="AD92" s="17">
        <f t="shared" si="30"/>
        <v>4550.1008576032127</v>
      </c>
    </row>
    <row r="93" spans="1:30" x14ac:dyDescent="0.25">
      <c r="A93" t="s">
        <v>52</v>
      </c>
      <c r="B93" s="8">
        <f>IF(B$33="JA",-PMT($D$17,Kengetallen!$B$16,Investering!$B$48,0,1),0)</f>
        <v>0</v>
      </c>
      <c r="C93" s="8">
        <f>IF(C$33="JA",-PMT($D$17,Kengetallen!$B$16,Investering!$B$48,0,1),0)</f>
        <v>184.41719847946851</v>
      </c>
      <c r="D93" s="8">
        <f>IF(D$33="JA",-PMT($D$17,Kengetallen!$B$16,Investering!$B$48,0,1),0)</f>
        <v>184.41719847946851</v>
      </c>
      <c r="E93" s="8">
        <f>IF(E$33="JA",-PMT($D$17,Kengetallen!$B$16,Investering!$B$48,0,1),0)</f>
        <v>184.41719847946851</v>
      </c>
      <c r="F93" s="8">
        <f>IF(F$33="JA",-PMT($D$17,Kengetallen!$B$16,Investering!$B$48,0,1),0)</f>
        <v>184.41719847946851</v>
      </c>
      <c r="G93" s="8">
        <f>IF(G$33="JA",-PMT($D$17,Kengetallen!$B$16,Investering!$B$48,0,1),0)</f>
        <v>184.41719847946851</v>
      </c>
      <c r="H93" s="8">
        <f>IF(H$33="JA",-PMT($D$17,Kengetallen!$B$16,Investering!$B$48,0,1),0)</f>
        <v>184.41719847946851</v>
      </c>
      <c r="I93" s="8">
        <f>IF(I$33="JA",-PMT($D$17,Kengetallen!$B$16,Investering!$B$48,0,1),0)</f>
        <v>184.41719847946851</v>
      </c>
      <c r="J93" s="8">
        <f>IF(J$33="JA",-PMT($D$17,Kengetallen!$B$16,Investering!$B$48,0,1),0)</f>
        <v>184.41719847946851</v>
      </c>
      <c r="K93" s="8">
        <f>IF(K$33="JA",-PMT($D$17,Kengetallen!$B$16,Investering!$B$48,0,1),0)</f>
        <v>184.41719847946851</v>
      </c>
      <c r="L93" s="8">
        <f>IF(L$33="JA",-PMT($D$17,Kengetallen!$B$16,Investering!$B$48,0,1),0)</f>
        <v>184.41719847946851</v>
      </c>
      <c r="M93" s="8">
        <f>IF(M$33="JA",-PMT($D$17,Kengetallen!$B$16,Investering!$B$48,0,1),0)</f>
        <v>184.41719847946851</v>
      </c>
      <c r="N93" s="8">
        <f>IF(N$33="JA",-PMT($D$17,Kengetallen!$B$16,Investering!$B$48,0,1),0)</f>
        <v>184.41719847946851</v>
      </c>
      <c r="O93" s="8">
        <f>IF(O$33="JA",-PMT($D$17,Kengetallen!$B$16,Investering!$B$48,0,1),0)</f>
        <v>184.41719847946851</v>
      </c>
      <c r="P93" s="8">
        <f>IF(P$33="JA",-PMT($D$17,Kengetallen!$B$16,Investering!$B$48,0,1),0)</f>
        <v>184.41719847946851</v>
      </c>
      <c r="Q93" s="8">
        <f>IF(Q$33="JA",-PMT($D$17,Kengetallen!$B$16,Investering!$B$48,0,1),0)</f>
        <v>184.41719847946851</v>
      </c>
      <c r="R93" s="8">
        <f>IF(R$33="JA",-PMT($D$17,Kengetallen!$B$16,Investering!$B$48,0,1),0)</f>
        <v>0</v>
      </c>
      <c r="S93" s="8">
        <f>IF(S$33="JA",-PMT($D$17,Kengetallen!$B$16,Investering!$B$48,0,1),0)</f>
        <v>0</v>
      </c>
      <c r="T93" s="8">
        <f>IF(T$33="JA",-PMT($D$17,Kengetallen!$B$16,Investering!$B$48,0,1),0)</f>
        <v>0</v>
      </c>
      <c r="U93" s="8">
        <f>IF(U$33="JA",-PMT($D$17,Kengetallen!$B$16,Investering!$B$48,0,1),0)</f>
        <v>0</v>
      </c>
      <c r="V93" s="8">
        <f>IF(V$33="JA",-PMT($D$17,Kengetallen!$B$16,Investering!$B$48,0,1),0)</f>
        <v>0</v>
      </c>
      <c r="W93" s="8">
        <f>IF(W$33="JA",-PMT($D$17,Kengetallen!$B$16,Investering!$B$48,0,1),0)</f>
        <v>0</v>
      </c>
      <c r="X93" s="8">
        <f>IF(X$33="JA",-PMT($D$17,Kengetallen!$B$16,Investering!$B$48,0,1),0)</f>
        <v>0</v>
      </c>
      <c r="Y93" s="8">
        <f>IF(Y$33="JA",-PMT($D$17,Kengetallen!$B$16,Investering!$B$48,0,1),0)</f>
        <v>0</v>
      </c>
      <c r="Z93" s="8">
        <f>IF(Z$33="JA",-PMT($D$17,Kengetallen!$B$16,Investering!$B$48,0,1),0)</f>
        <v>0</v>
      </c>
      <c r="AA93" s="8">
        <f>IF(AA$33="JA",-PMT($D$17,Kengetallen!$B$16,Investering!$B$48,0,1),0)</f>
        <v>0</v>
      </c>
      <c r="AB93" s="8">
        <f>IF(AB$33="JA",-PMT($D$17,Kengetallen!$B$16,Investering!$B$48,0,1),0)</f>
        <v>0</v>
      </c>
      <c r="AC93" s="8"/>
      <c r="AD93" s="8">
        <f t="shared" si="30"/>
        <v>2766.2579771920268</v>
      </c>
    </row>
    <row r="94" spans="1:30" x14ac:dyDescent="0.25">
      <c r="A94" t="s">
        <v>95</v>
      </c>
      <c r="B94" s="8">
        <f>IF(B$33="JA",Kengetallen!$B$20*(1+Kengetallen!$B$2)^'Business case'!B$32,0)</f>
        <v>0</v>
      </c>
      <c r="C94" s="8">
        <f>IF(C$33="JA",Kengetallen!$B$20*(1+Kengetallen!$B$2)^'Business case'!C$32,0)</f>
        <v>25.5</v>
      </c>
      <c r="D94" s="8">
        <f>IF(D$33="JA",Kengetallen!$B$20*(1+Kengetallen!$B$2)^'Business case'!D$32,0)</f>
        <v>26.009999999999998</v>
      </c>
      <c r="E94" s="8">
        <f>IF(E$33="JA",Kengetallen!$B$20*(1+Kengetallen!$B$2)^'Business case'!E$32,0)</f>
        <v>26.530199999999997</v>
      </c>
      <c r="F94" s="8">
        <f>IF(F$33="JA",Kengetallen!$B$20*(1+Kengetallen!$B$2)^'Business case'!F$32,0)</f>
        <v>27.060804000000001</v>
      </c>
      <c r="G94" s="8">
        <f>IF(G$33="JA",Kengetallen!$B$20*(1+Kengetallen!$B$2)^'Business case'!G$32,0)</f>
        <v>27.602020079999999</v>
      </c>
      <c r="H94" s="8">
        <f>IF(H$33="JA",Kengetallen!$B$20*(1+Kengetallen!$B$2)^'Business case'!H$32,0)</f>
        <v>28.154060481600002</v>
      </c>
      <c r="I94" s="8">
        <f>IF(I$33="JA",Kengetallen!$B$20*(1+Kengetallen!$B$2)^'Business case'!I$32,0)</f>
        <v>28.717141691231994</v>
      </c>
      <c r="J94" s="8">
        <f>IF(J$33="JA",Kengetallen!$B$20*(1+Kengetallen!$B$2)^'Business case'!J$32,0)</f>
        <v>29.291484525056639</v>
      </c>
      <c r="K94" s="8">
        <f>IF(K$33="JA",Kengetallen!$B$20*(1+Kengetallen!$B$2)^'Business case'!K$32,0)</f>
        <v>29.877314215557771</v>
      </c>
      <c r="L94" s="8">
        <f>IF(L$33="JA",Kengetallen!$B$20*(1+Kengetallen!$B$2)^'Business case'!L$32,0)</f>
        <v>30.474860499868928</v>
      </c>
      <c r="M94" s="8">
        <f>IF(M$33="JA",Kengetallen!$B$20*(1+Kengetallen!$B$2)^'Business case'!M$32,0)</f>
        <v>31.0843577098663</v>
      </c>
      <c r="N94" s="8">
        <f>IF(N$33="JA",Kengetallen!$B$20*(1+Kengetallen!$B$2)^'Business case'!N$32,0)</f>
        <v>31.706044864063632</v>
      </c>
      <c r="O94" s="8">
        <f>IF(O$33="JA",Kengetallen!$B$20*(1+Kengetallen!$B$2)^'Business case'!O$32,0)</f>
        <v>32.340165761344899</v>
      </c>
      <c r="P94" s="8">
        <f>IF(P$33="JA",Kengetallen!$B$20*(1+Kengetallen!$B$2)^'Business case'!P$32,0)</f>
        <v>32.986969076571803</v>
      </c>
      <c r="Q94" s="8">
        <f>IF(Q$33="JA",Kengetallen!$B$20*(1+Kengetallen!$B$2)^'Business case'!Q$32,0)</f>
        <v>33.646708458103234</v>
      </c>
      <c r="R94" s="8">
        <f>IF(R$33="JA",Kengetallen!$B$20*(1+Kengetallen!$B$2)^'Business case'!R$32,0)</f>
        <v>0</v>
      </c>
      <c r="S94" s="8">
        <f>IF(S$33="JA",Kengetallen!$B$20*(1+Kengetallen!$B$2)^'Business case'!S$32,0)</f>
        <v>0</v>
      </c>
      <c r="T94" s="8">
        <f>IF(T$33="JA",Kengetallen!$B$20*(1+Kengetallen!$B$2)^'Business case'!T$32,0)</f>
        <v>0</v>
      </c>
      <c r="U94" s="8">
        <f>IF(U$33="JA",Kengetallen!$B$20*(1+Kengetallen!$B$2)^'Business case'!U$32,0)</f>
        <v>0</v>
      </c>
      <c r="V94" s="8">
        <f>IF(V$33="JA",Kengetallen!$B$20*(1+Kengetallen!$B$2)^'Business case'!V$32,0)</f>
        <v>0</v>
      </c>
      <c r="W94" s="8">
        <f>IF(W$33="JA",Kengetallen!$B$20*(1+Kengetallen!$B$2)^'Business case'!W$32,0)</f>
        <v>0</v>
      </c>
      <c r="X94" s="8">
        <f>IF(X$33="JA",Kengetallen!$B$20*(1+Kengetallen!$B$2)^'Business case'!X$32,0)</f>
        <v>0</v>
      </c>
      <c r="Y94" s="8">
        <f>IF(Y$33="JA",Kengetallen!$B$20*(1+Kengetallen!$B$2)^'Business case'!Y$32,0)</f>
        <v>0</v>
      </c>
      <c r="Z94" s="8">
        <f>IF(Z$33="JA",Kengetallen!$B$20*(1+Kengetallen!$B$2)^'Business case'!Z$32,0)</f>
        <v>0</v>
      </c>
      <c r="AA94" s="8">
        <f>IF(AA$33="JA",Kengetallen!$B$20*(1+Kengetallen!$B$2)^'Business case'!AA$32,0)</f>
        <v>0</v>
      </c>
      <c r="AB94" s="8">
        <f>IF(AB$33="JA",Kengetallen!$B$20*(1+Kengetallen!$B$2)^'Business case'!AB$32,0)</f>
        <v>0</v>
      </c>
      <c r="AC94" s="8"/>
      <c r="AD94" s="8">
        <f t="shared" si="30"/>
        <v>440.98213136326524</v>
      </c>
    </row>
    <row r="95" spans="1:30" x14ac:dyDescent="0.25">
      <c r="A95" s="3" t="s">
        <v>41</v>
      </c>
      <c r="B95" s="14">
        <f t="shared" ref="B95" si="138">SUM(B79:B85)-B92+B93+B94</f>
        <v>0</v>
      </c>
      <c r="C95" s="14">
        <f t="shared" ref="C95" si="139">SUM(C79:C85)-C92+C93+C94</f>
        <v>2105.6841160664198</v>
      </c>
      <c r="D95" s="14">
        <f t="shared" ref="D95" si="140">SUM(D79:D85)-D92+D93+D94</f>
        <v>2111.2851994106468</v>
      </c>
      <c r="E95" s="14">
        <f t="shared" ref="E95" si="141">SUM(E79:E85)-E92+E93+E94</f>
        <v>2116.7997627813393</v>
      </c>
      <c r="F95" s="14">
        <f t="shared" ref="F95" si="142">SUM(F79:F85)-F92+F93+F94</f>
        <v>2122.1255885137157</v>
      </c>
      <c r="G95" s="14">
        <f t="shared" ref="G95" si="143">SUM(G79:G85)-G92+G93+G94</f>
        <v>2128.0361657822764</v>
      </c>
      <c r="H95" s="14">
        <f t="shared" ref="H95" si="144">SUM(H79:H85)-H92+H93+H94</f>
        <v>2147.3529551083984</v>
      </c>
      <c r="I95" s="14">
        <f t="shared" ref="I95" si="145">SUM(I79:I85)-I92+I93+I94</f>
        <v>2260.7077351042362</v>
      </c>
      <c r="J95" s="14">
        <f t="shared" ref="J95" si="146">SUM(J79:J85)-J92+J93+J94</f>
        <v>2267.9674538836052</v>
      </c>
      <c r="K95" s="14">
        <f t="shared" ref="K95" si="147">SUM(K79:K85)-K92+K93+K94</f>
        <v>2275.3428344061986</v>
      </c>
      <c r="L95" s="14">
        <f t="shared" ref="L95" si="148">SUM(L79:L85)-L92+L93+L94</f>
        <v>2282.8365118168144</v>
      </c>
      <c r="M95" s="14">
        <f t="shared" ref="M95" si="149">SUM(M79:M85)-M92+M93+M94</f>
        <v>2290.4511731910088</v>
      </c>
      <c r="N95" s="14">
        <f t="shared" ref="N95" si="150">SUM(N79:N85)-N92+N93+N94</f>
        <v>2298.1895585981715</v>
      </c>
      <c r="O95" s="14">
        <f t="shared" ref="O95" si="151">SUM(O79:O85)-O92+O93+O94</f>
        <v>2306.0544621859203</v>
      </c>
      <c r="P95" s="14">
        <f t="shared" ref="P95" si="152">SUM(P79:P85)-P92+P93+P94</f>
        <v>2314.0487332862795</v>
      </c>
      <c r="Q95" s="14">
        <f t="shared" ref="Q95" si="153">SUM(Q79:Q85)-Q92+Q93+Q94</f>
        <v>2322.1752775440441</v>
      </c>
      <c r="R95" s="14">
        <f t="shared" ref="R95" si="154">SUM(R79:R85)-R92+R93+R94</f>
        <v>0</v>
      </c>
      <c r="S95" s="14">
        <f t="shared" ref="S95" si="155">SUM(S79:S85)-S92+S93+S94</f>
        <v>0</v>
      </c>
      <c r="T95" s="14">
        <f t="shared" ref="T95" si="156">SUM(T79:T85)-T92+T93+T94</f>
        <v>0</v>
      </c>
      <c r="U95" s="14">
        <f t="shared" ref="U95" si="157">SUM(U79:U85)-U92+U93+U94</f>
        <v>0</v>
      </c>
      <c r="V95" s="14">
        <f t="shared" ref="V95" si="158">SUM(V79:V85)-V92+V93+V94</f>
        <v>0</v>
      </c>
      <c r="W95" s="14">
        <f t="shared" ref="W95" si="159">SUM(W79:W85)-W92+W93+W94</f>
        <v>0</v>
      </c>
      <c r="X95" s="14">
        <f t="shared" ref="X95" si="160">SUM(X79:X85)-X92+X93+X94</f>
        <v>0</v>
      </c>
      <c r="Y95" s="14">
        <f t="shared" ref="Y95" si="161">SUM(Y79:Y85)-Y92+Y93+Y94</f>
        <v>0</v>
      </c>
      <c r="Z95" s="14">
        <f t="shared" ref="Z95" si="162">SUM(Z79:Z85)-Z92+Z93+Z94</f>
        <v>0</v>
      </c>
      <c r="AA95" s="14">
        <f t="shared" ref="AA95" si="163">SUM(AA79:AA85)-AA92+AA93+AA94</f>
        <v>0</v>
      </c>
      <c r="AB95" s="14">
        <f t="shared" ref="AB95" si="164">SUM(AB79:AB85)-AB92+AB93+AB94</f>
        <v>0</v>
      </c>
      <c r="AC95" s="14"/>
      <c r="AD95" s="14">
        <f t="shared" si="30"/>
        <v>33349.057527679077</v>
      </c>
    </row>
    <row r="96" spans="1:30" x14ac:dyDescent="0.25">
      <c r="A96" t="s">
        <v>101</v>
      </c>
      <c r="B96" s="8">
        <f t="shared" ref="B96" si="165">B80+B85-B92+B94</f>
        <v>0</v>
      </c>
      <c r="C96" s="8">
        <f t="shared" ref="C96:AB96" si="166">C80+C85-C92+C94</f>
        <v>156.18217607398128</v>
      </c>
      <c r="D96" s="8">
        <f t="shared" si="166"/>
        <v>161.78325941820782</v>
      </c>
      <c r="E96" s="8">
        <f t="shared" si="166"/>
        <v>167.2978227889009</v>
      </c>
      <c r="F96" s="8">
        <f t="shared" si="166"/>
        <v>172.62364852127686</v>
      </c>
      <c r="G96" s="8">
        <f t="shared" si="166"/>
        <v>178.53422578983793</v>
      </c>
      <c r="H96" s="8">
        <f t="shared" si="166"/>
        <v>197.85101511595965</v>
      </c>
      <c r="I96" s="8">
        <f t="shared" si="166"/>
        <v>311.20579511179767</v>
      </c>
      <c r="J96" s="8">
        <f t="shared" si="166"/>
        <v>318.46551389116672</v>
      </c>
      <c r="K96" s="8">
        <f t="shared" si="166"/>
        <v>325.84089441376034</v>
      </c>
      <c r="L96" s="8">
        <f t="shared" si="166"/>
        <v>333.3345718243757</v>
      </c>
      <c r="M96" s="8">
        <f t="shared" si="166"/>
        <v>340.94923319857082</v>
      </c>
      <c r="N96" s="8">
        <f t="shared" si="166"/>
        <v>348.6876186057325</v>
      </c>
      <c r="O96" s="8">
        <f t="shared" si="166"/>
        <v>356.55252219348182</v>
      </c>
      <c r="P96" s="8">
        <f t="shared" si="166"/>
        <v>364.54679329384106</v>
      </c>
      <c r="Q96" s="8">
        <f t="shared" si="166"/>
        <v>372.67333755160564</v>
      </c>
      <c r="R96" s="8">
        <f t="shared" si="166"/>
        <v>0</v>
      </c>
      <c r="S96" s="8">
        <f t="shared" si="166"/>
        <v>0</v>
      </c>
      <c r="T96" s="8">
        <f t="shared" si="166"/>
        <v>0</v>
      </c>
      <c r="U96" s="8">
        <f t="shared" si="166"/>
        <v>0</v>
      </c>
      <c r="V96" s="8">
        <f t="shared" si="166"/>
        <v>0</v>
      </c>
      <c r="W96" s="8">
        <f t="shared" si="166"/>
        <v>0</v>
      </c>
      <c r="X96" s="8">
        <f t="shared" si="166"/>
        <v>0</v>
      </c>
      <c r="Y96" s="8">
        <f t="shared" si="166"/>
        <v>0</v>
      </c>
      <c r="Z96" s="8">
        <f t="shared" si="166"/>
        <v>0</v>
      </c>
      <c r="AA96" s="8">
        <f t="shared" si="166"/>
        <v>0</v>
      </c>
      <c r="AB96" s="8">
        <f t="shared" si="166"/>
        <v>0</v>
      </c>
      <c r="AC96" s="8"/>
      <c r="AD96" s="8"/>
    </row>
    <row r="97" spans="1:30" x14ac:dyDescent="0.25">
      <c r="A97" s="3" t="s">
        <v>9</v>
      </c>
      <c r="B97" s="14">
        <f>IFERROR(B$41-B95,"")</f>
        <v>0</v>
      </c>
      <c r="C97" s="14">
        <f>IFERROR(C$41-C95,"")</f>
        <v>-285.13991708090407</v>
      </c>
      <c r="D97" s="14">
        <f t="shared" ref="D97:AB97" si="167">IFERROR(D$41-D95,"")</f>
        <v>-304.70295434782793</v>
      </c>
      <c r="E97" s="14">
        <f t="shared" si="167"/>
        <v>-317.10264349382714</v>
      </c>
      <c r="F97" s="14">
        <f t="shared" si="167"/>
        <v>-303.77051663561224</v>
      </c>
      <c r="G97" s="14">
        <f t="shared" si="167"/>
        <v>-255.56542524498013</v>
      </c>
      <c r="H97" s="14">
        <f t="shared" si="167"/>
        <v>-233.3449003800888</v>
      </c>
      <c r="I97" s="14">
        <f t="shared" si="167"/>
        <v>-319.87084545557855</v>
      </c>
      <c r="J97" s="14">
        <f t="shared" si="167"/>
        <v>-299.76515261619215</v>
      </c>
      <c r="K97" s="14">
        <f t="shared" si="167"/>
        <v>-279.22781328765586</v>
      </c>
      <c r="L97" s="14">
        <f t="shared" si="167"/>
        <v>-258.25051645011854</v>
      </c>
      <c r="M97" s="14">
        <f t="shared" si="167"/>
        <v>-236.82478409119722</v>
      </c>
      <c r="N97" s="14">
        <f t="shared" si="167"/>
        <v>-214.94196789058196</v>
      </c>
      <c r="O97" s="14">
        <f t="shared" si="167"/>
        <v>-192.5932458383968</v>
      </c>
      <c r="P97" s="14">
        <f t="shared" si="167"/>
        <v>-169.76961878602378</v>
      </c>
      <c r="Q97" s="14">
        <f t="shared" si="167"/>
        <v>-146.4619069280011</v>
      </c>
      <c r="R97" s="14">
        <f t="shared" si="167"/>
        <v>0</v>
      </c>
      <c r="S97" s="14">
        <f t="shared" si="167"/>
        <v>0</v>
      </c>
      <c r="T97" s="14">
        <f t="shared" si="167"/>
        <v>0</v>
      </c>
      <c r="U97" s="14">
        <f t="shared" si="167"/>
        <v>0</v>
      </c>
      <c r="V97" s="14">
        <f t="shared" si="167"/>
        <v>0</v>
      </c>
      <c r="W97" s="14">
        <f t="shared" si="167"/>
        <v>0</v>
      </c>
      <c r="X97" s="14">
        <f t="shared" si="167"/>
        <v>0</v>
      </c>
      <c r="Y97" s="14">
        <f t="shared" si="167"/>
        <v>0</v>
      </c>
      <c r="Z97" s="14">
        <f t="shared" si="167"/>
        <v>0</v>
      </c>
      <c r="AA97" s="14">
        <f t="shared" si="167"/>
        <v>0</v>
      </c>
      <c r="AB97" s="14">
        <f t="shared" si="167"/>
        <v>0</v>
      </c>
      <c r="AC97" s="14"/>
      <c r="AD97" s="14">
        <f>SUM(B97:AB97)</f>
        <v>-3817.3322085269865</v>
      </c>
    </row>
    <row r="99" spans="1:30" x14ac:dyDescent="0.25">
      <c r="A99" s="23" t="s">
        <v>194</v>
      </c>
    </row>
    <row r="100" spans="1:30" x14ac:dyDescent="0.25">
      <c r="A100" t="s">
        <v>19</v>
      </c>
      <c r="B100">
        <f t="shared" ref="B100:AB100" si="168">IF(B$33="JA",$C$1*(1-$C$4)*(1-$C$3),0)</f>
        <v>0</v>
      </c>
      <c r="C100">
        <f t="shared" si="168"/>
        <v>0</v>
      </c>
      <c r="D100">
        <f t="shared" si="168"/>
        <v>0</v>
      </c>
      <c r="E100">
        <f t="shared" si="168"/>
        <v>0</v>
      </c>
      <c r="F100">
        <f t="shared" si="168"/>
        <v>0</v>
      </c>
      <c r="G100">
        <f t="shared" si="168"/>
        <v>0</v>
      </c>
      <c r="H100">
        <f t="shared" si="168"/>
        <v>0</v>
      </c>
      <c r="I100">
        <f t="shared" si="168"/>
        <v>0</v>
      </c>
      <c r="J100">
        <f t="shared" si="168"/>
        <v>0</v>
      </c>
      <c r="K100">
        <f t="shared" si="168"/>
        <v>0</v>
      </c>
      <c r="L100">
        <f t="shared" si="168"/>
        <v>0</v>
      </c>
      <c r="M100">
        <f t="shared" si="168"/>
        <v>0</v>
      </c>
      <c r="N100">
        <f t="shared" si="168"/>
        <v>0</v>
      </c>
      <c r="O100">
        <f t="shared" si="168"/>
        <v>0</v>
      </c>
      <c r="P100">
        <f t="shared" si="168"/>
        <v>0</v>
      </c>
      <c r="Q100">
        <f t="shared" si="168"/>
        <v>0</v>
      </c>
      <c r="R100">
        <f t="shared" si="168"/>
        <v>0</v>
      </c>
      <c r="S100">
        <f t="shared" si="168"/>
        <v>0</v>
      </c>
      <c r="T100">
        <f t="shared" si="168"/>
        <v>0</v>
      </c>
      <c r="U100">
        <f t="shared" si="168"/>
        <v>0</v>
      </c>
      <c r="V100">
        <f t="shared" si="168"/>
        <v>0</v>
      </c>
      <c r="W100">
        <f t="shared" si="168"/>
        <v>0</v>
      </c>
      <c r="X100">
        <f t="shared" si="168"/>
        <v>0</v>
      </c>
      <c r="Y100">
        <f t="shared" si="168"/>
        <v>0</v>
      </c>
      <c r="Z100">
        <f t="shared" si="168"/>
        <v>0</v>
      </c>
      <c r="AA100">
        <f t="shared" si="168"/>
        <v>0</v>
      </c>
      <c r="AB100">
        <f t="shared" si="168"/>
        <v>0</v>
      </c>
      <c r="AC100" s="10"/>
      <c r="AD100" s="10">
        <f t="shared" ref="AD100:AD123" si="169">SUM(B100:AB100)</f>
        <v>0</v>
      </c>
    </row>
    <row r="101" spans="1:30" x14ac:dyDescent="0.25">
      <c r="A101" s="13" t="s">
        <v>27</v>
      </c>
      <c r="B101">
        <f>MIN(B100,Prijzen!C136)</f>
        <v>0</v>
      </c>
      <c r="C101">
        <f>MIN(C100,Prijzen!D136)</f>
        <v>0</v>
      </c>
      <c r="D101">
        <f>MIN(D100,Prijzen!E136)</f>
        <v>0</v>
      </c>
      <c r="E101">
        <f>MIN(E100,Prijzen!F136)</f>
        <v>0</v>
      </c>
      <c r="F101">
        <f>MIN(F100,Prijzen!G136)</f>
        <v>0</v>
      </c>
      <c r="G101">
        <f>MIN(G100,Prijzen!H136)</f>
        <v>0</v>
      </c>
      <c r="H101">
        <f>MIN(H100,Prijzen!I136)</f>
        <v>0</v>
      </c>
      <c r="I101">
        <f>MIN(I100,Prijzen!J136)</f>
        <v>0</v>
      </c>
      <c r="J101">
        <f>MIN(J100,Prijzen!K136)</f>
        <v>0</v>
      </c>
      <c r="K101">
        <f>MIN(K100,Prijzen!L136)</f>
        <v>0</v>
      </c>
      <c r="L101">
        <f>MIN(L100,Prijzen!M136)</f>
        <v>0</v>
      </c>
      <c r="M101">
        <f>MIN(M100,Prijzen!N136)</f>
        <v>0</v>
      </c>
      <c r="N101">
        <f>MIN(N100,Prijzen!O136)</f>
        <v>0</v>
      </c>
      <c r="O101">
        <f>MIN(O100,Prijzen!P136)</f>
        <v>0</v>
      </c>
      <c r="P101">
        <f>MIN(P100,Prijzen!Q136)</f>
        <v>0</v>
      </c>
      <c r="Q101">
        <f>MIN(Q100,Prijzen!R136)</f>
        <v>0</v>
      </c>
      <c r="R101">
        <f>MIN(R100,Prijzen!S136)</f>
        <v>0</v>
      </c>
      <c r="S101">
        <f>MIN(S100,Prijzen!T136)</f>
        <v>0</v>
      </c>
      <c r="T101">
        <f>MIN(T100,Prijzen!U136)</f>
        <v>0</v>
      </c>
      <c r="U101">
        <f>MIN(U100,Prijzen!V136)</f>
        <v>0</v>
      </c>
      <c r="V101">
        <f>MIN(V100,Prijzen!W136)</f>
        <v>0</v>
      </c>
      <c r="W101">
        <f>MIN(W100,Prijzen!X136)</f>
        <v>0</v>
      </c>
      <c r="X101">
        <f>MIN(X100,Prijzen!Y136)</f>
        <v>0</v>
      </c>
      <c r="Y101">
        <f>MIN(Y100,Prijzen!Z136)</f>
        <v>0</v>
      </c>
      <c r="Z101">
        <f>MIN(Z100,Prijzen!AA136)</f>
        <v>0</v>
      </c>
      <c r="AA101">
        <f>MIN(AA100,Prijzen!AB136)</f>
        <v>0</v>
      </c>
      <c r="AB101">
        <f>MIN(AB100,Prijzen!AC136)</f>
        <v>0</v>
      </c>
      <c r="AD101">
        <f t="shared" si="169"/>
        <v>0</v>
      </c>
    </row>
    <row r="102" spans="1:30" x14ac:dyDescent="0.25">
      <c r="A102" t="s">
        <v>22</v>
      </c>
      <c r="B102" s="10">
        <f>IF(B$33="JA",$C$1*(1-$C$3)*$C$4*9.5/$E$14,0)</f>
        <v>0</v>
      </c>
      <c r="C102" s="10">
        <f t="shared" ref="C102:AB102" si="170">IF(C$33="JA",$C$1*(1-$C$3)*$C$4*9.5/$E$14,0)</f>
        <v>2212.6857142857143</v>
      </c>
      <c r="D102" s="10">
        <f t="shared" si="170"/>
        <v>2212.6857142857143</v>
      </c>
      <c r="E102" s="10">
        <f t="shared" si="170"/>
        <v>2212.6857142857143</v>
      </c>
      <c r="F102" s="10">
        <f t="shared" si="170"/>
        <v>2212.6857142857143</v>
      </c>
      <c r="G102" s="10">
        <f t="shared" si="170"/>
        <v>2212.6857142857143</v>
      </c>
      <c r="H102" s="10">
        <f t="shared" si="170"/>
        <v>2212.6857142857143</v>
      </c>
      <c r="I102" s="10">
        <f t="shared" si="170"/>
        <v>2212.6857142857143</v>
      </c>
      <c r="J102" s="10">
        <f t="shared" si="170"/>
        <v>2212.6857142857143</v>
      </c>
      <c r="K102" s="10">
        <f t="shared" si="170"/>
        <v>2212.6857142857143</v>
      </c>
      <c r="L102" s="10">
        <f t="shared" si="170"/>
        <v>2212.6857142857143</v>
      </c>
      <c r="M102" s="10">
        <f t="shared" si="170"/>
        <v>2212.6857142857143</v>
      </c>
      <c r="N102" s="10">
        <f t="shared" si="170"/>
        <v>2212.6857142857143</v>
      </c>
      <c r="O102" s="10">
        <f t="shared" si="170"/>
        <v>2212.6857142857143</v>
      </c>
      <c r="P102" s="10">
        <f t="shared" si="170"/>
        <v>2212.6857142857143</v>
      </c>
      <c r="Q102" s="10">
        <f t="shared" si="170"/>
        <v>2212.6857142857143</v>
      </c>
      <c r="R102" s="10">
        <f t="shared" si="170"/>
        <v>0</v>
      </c>
      <c r="S102" s="10">
        <f t="shared" si="170"/>
        <v>0</v>
      </c>
      <c r="T102" s="10">
        <f t="shared" si="170"/>
        <v>0</v>
      </c>
      <c r="U102" s="10">
        <f t="shared" si="170"/>
        <v>0</v>
      </c>
      <c r="V102" s="10">
        <f t="shared" si="170"/>
        <v>0</v>
      </c>
      <c r="W102" s="10">
        <f t="shared" si="170"/>
        <v>0</v>
      </c>
      <c r="X102" s="10">
        <f t="shared" si="170"/>
        <v>0</v>
      </c>
      <c r="Y102" s="10">
        <f t="shared" si="170"/>
        <v>0</v>
      </c>
      <c r="Z102" s="10">
        <f t="shared" si="170"/>
        <v>0</v>
      </c>
      <c r="AA102" s="10">
        <f t="shared" si="170"/>
        <v>0</v>
      </c>
      <c r="AB102" s="10">
        <f t="shared" si="170"/>
        <v>0</v>
      </c>
      <c r="AC102" s="10"/>
      <c r="AD102" s="10">
        <f t="shared" si="169"/>
        <v>33190.285714285725</v>
      </c>
    </row>
    <row r="103" spans="1:30" x14ac:dyDescent="0.25">
      <c r="A103" s="13" t="s">
        <v>27</v>
      </c>
      <c r="AC103" s="10"/>
      <c r="AD103" s="10">
        <f t="shared" si="169"/>
        <v>0</v>
      </c>
    </row>
    <row r="104" spans="1:30" x14ac:dyDescent="0.25">
      <c r="A104" t="s">
        <v>13</v>
      </c>
      <c r="B104" s="2">
        <f>VLOOKUP($C$8,Prijzen!$B$32:$T$35,B$31,FALSE)</f>
        <v>1.248756086373378</v>
      </c>
      <c r="C104" s="2">
        <f>VLOOKUP($C$8,Prijzen!$B$32:$T$35,C$31,FALSE)</f>
        <v>1.2514967446419549</v>
      </c>
      <c r="D104" s="2">
        <f>VLOOKUP($C$8,Prijzen!$B$32:$T$35,D$31,FALSE)</f>
        <v>1.2287304397192578</v>
      </c>
      <c r="E104" s="2">
        <f>VLOOKUP($C$8,Prijzen!$B$32:$T$35,E$31,FALSE)</f>
        <v>1.2128648759239511</v>
      </c>
      <c r="F104" s="2">
        <f>VLOOKUP($C$8,Prijzen!$B$32:$T$35,F$31,FALSE)</f>
        <v>1.222362781734142</v>
      </c>
      <c r="G104" s="2">
        <f>VLOOKUP($C$8,Prijzen!$B$32:$T$35,G$31,FALSE)</f>
        <v>1.2671352026773273</v>
      </c>
      <c r="H104" s="2">
        <f>VLOOKUP($C$8,Prijzen!$B$32:$T$35,H$31,FALSE)</f>
        <v>1.2991424041980122</v>
      </c>
      <c r="I104" s="2">
        <f>VLOOKUP($C$8,Prijzen!$B$32:$T$35,I$31,FALSE)</f>
        <v>1.3162505241946256</v>
      </c>
      <c r="J104" s="2">
        <f>VLOOKUP($C$8,Prijzen!$B$32:$T$35,J$31,FALSE)</f>
        <v>1.3337008065911713</v>
      </c>
      <c r="K104" s="2">
        <f>VLOOKUP($C$8,Prijzen!$B$32:$T$35,K$31,FALSE)</f>
        <v>1.3515000946356479</v>
      </c>
      <c r="L104" s="2">
        <f>VLOOKUP($C$8,Prijzen!$B$32:$T$35,L$31,FALSE)</f>
        <v>1.369655368441014</v>
      </c>
      <c r="M104" s="2">
        <f>VLOOKUP($C$8,Prijzen!$B$32:$T$35,M$31,FALSE)</f>
        <v>1.3881737477224874</v>
      </c>
      <c r="N104" s="2">
        <f>VLOOKUP($C$8,Prijzen!$B$32:$T$35,N$31,FALSE)</f>
        <v>1.4070624945895902</v>
      </c>
      <c r="O104" s="2">
        <f>VLOOKUP($C$8,Prijzen!$B$32:$T$35,O$31,FALSE)</f>
        <v>1.4263290163940352</v>
      </c>
      <c r="P104" s="2">
        <f>VLOOKUP($C$8,Prijzen!$B$32:$T$35,P$31,FALSE)</f>
        <v>1.445980868634569</v>
      </c>
      <c r="Q104" s="2">
        <f>VLOOKUP($C$8,Prijzen!$B$32:$T$35,Q$31,FALSE)</f>
        <v>1.4660257579199134</v>
      </c>
      <c r="R104" s="2">
        <f>VLOOKUP($C$8,Prijzen!$B$32:$T$35,R$31,FALSE)</f>
        <v>1.4864715449909649</v>
      </c>
      <c r="S104" s="2">
        <f>VLOOKUP($C$8,Prijzen!$B$32:$T$35,S$31,FALSE)</f>
        <v>1.2991424041980122</v>
      </c>
      <c r="T104" s="2">
        <f>VLOOKUP($C$8,Prijzen!$B$32:$T$35,T$31,FALSE)</f>
        <v>1.2991424041980122</v>
      </c>
      <c r="U104" s="2">
        <f>VLOOKUP($C$8,Prijzen!$B$32:$T$35,U$31,FALSE)</f>
        <v>1.2991424041980122</v>
      </c>
      <c r="V104" s="2">
        <f>VLOOKUP($C$8,Prijzen!$B$32:$T$35,V$31,FALSE)</f>
        <v>1.2991424041980122</v>
      </c>
      <c r="W104" s="2">
        <f>VLOOKUP($C$8,Prijzen!$B$32:$T$35,W$31,FALSE)</f>
        <v>1.2991424041980122</v>
      </c>
      <c r="X104" s="2">
        <f>VLOOKUP($C$8,Prijzen!$B$32:$T$35,X$31,FALSE)</f>
        <v>1.2991424041980122</v>
      </c>
      <c r="Y104" s="2">
        <f>VLOOKUP($C$8,Prijzen!$B$32:$T$35,Y$31,FALSE)</f>
        <v>1.2991424041980122</v>
      </c>
      <c r="Z104" s="2">
        <f>VLOOKUP($C$8,Prijzen!$B$32:$T$35,Z$31,FALSE)</f>
        <v>1.2991424041980122</v>
      </c>
      <c r="AA104" s="2">
        <f>VLOOKUP($C$8,Prijzen!$B$32:$T$35,AA$31,FALSE)</f>
        <v>1.2991424041980122</v>
      </c>
      <c r="AB104" s="2">
        <f>VLOOKUP($C$8,Prijzen!$B$32:$T$35,AB$31,FALSE)</f>
        <v>1.2991424041980122</v>
      </c>
      <c r="AC104" s="2"/>
      <c r="AD104" s="2">
        <f t="shared" si="169"/>
        <v>35.713062801362163</v>
      </c>
    </row>
    <row r="105" spans="1:30" x14ac:dyDescent="0.25">
      <c r="A105" t="s">
        <v>12</v>
      </c>
      <c r="B105" s="2">
        <f>VLOOKUP($C$8,Prijzen!$B$38:$T$41,B$31,FALSE)</f>
        <v>0.30772435747266325</v>
      </c>
      <c r="C105" s="2">
        <f>VLOOKUP($C$8,Prijzen!$B$38:$T$41,C$31,FALSE)</f>
        <v>0.275890183279209</v>
      </c>
      <c r="D105" s="2">
        <f>VLOOKUP($C$8,Prijzen!$B$38:$T$41,D$31,FALSE)</f>
        <v>0.24897066227602277</v>
      </c>
      <c r="E105" s="2">
        <f>VLOOKUP($C$8,Prijzen!$B$38:$T$41,E$31,FALSE)</f>
        <v>0.23621624314417644</v>
      </c>
      <c r="F105" s="2">
        <f>VLOOKUP($C$8,Prijzen!$B$38:$T$41,F$31,FALSE)</f>
        <v>0.22470481824054794</v>
      </c>
      <c r="G105" s="2">
        <f>VLOOKUP($C$8,Prijzen!$B$38:$T$41,G$31,FALSE)</f>
        <v>0.22722462021985299</v>
      </c>
      <c r="H105" s="2">
        <f>VLOOKUP($C$8,Prijzen!$B$38:$T$41,H$31,FALSE)</f>
        <v>0.23411230073066347</v>
      </c>
      <c r="I105" s="2">
        <f>VLOOKUP($C$8,Prijzen!$B$38:$T$41,I$31,FALSE)</f>
        <v>0.2360860841826537</v>
      </c>
      <c r="J105" s="2">
        <f>VLOOKUP($C$8,Prijzen!$B$38:$T$41,J$31,FALSE)</f>
        <v>0.23809934330368376</v>
      </c>
      <c r="K105" s="2">
        <f>VLOOKUP($C$8,Prijzen!$B$38:$T$41,K$31,FALSE)</f>
        <v>0.24015286760713439</v>
      </c>
      <c r="L105" s="2">
        <f>VLOOKUP($C$8,Prijzen!$B$38:$T$41,L$31,FALSE)</f>
        <v>0.24224746239665404</v>
      </c>
      <c r="M105" s="2">
        <f>VLOOKUP($C$8,Prijzen!$B$38:$T$41,M$31,FALSE)</f>
        <v>0.24438394908196409</v>
      </c>
      <c r="N105" s="2">
        <f>VLOOKUP($C$8,Prijzen!$B$38:$T$41,N$31,FALSE)</f>
        <v>0.24656316550098034</v>
      </c>
      <c r="O105" s="2">
        <f>VLOOKUP($C$8,Prijzen!$B$38:$T$41,O$31,FALSE)</f>
        <v>0.2487859662483769</v>
      </c>
      <c r="P105" s="2">
        <f>VLOOKUP($C$8,Prijzen!$B$38:$T$41,P$31,FALSE)</f>
        <v>0.25105322301072142</v>
      </c>
      <c r="Q105" s="2">
        <f>VLOOKUP($C$8,Prijzen!$B$38:$T$41,Q$31,FALSE)</f>
        <v>0.25336582490831283</v>
      </c>
      <c r="R105" s="2">
        <f>VLOOKUP($C$8,Prijzen!$B$38:$T$41,R$31,FALSE)</f>
        <v>0.25572467884385602</v>
      </c>
      <c r="S105" s="2">
        <f>VLOOKUP($C$8,Prijzen!$B$38:$T$41,S$31,FALSE)</f>
        <v>0.23411230073066347</v>
      </c>
      <c r="T105" s="2">
        <f>VLOOKUP($C$8,Prijzen!$B$38:$T$41,T$31,FALSE)</f>
        <v>0.23411230073066347</v>
      </c>
      <c r="U105" s="2">
        <f>VLOOKUP($C$8,Prijzen!$B$38:$T$41,U$31,FALSE)</f>
        <v>0.23411230073066347</v>
      </c>
      <c r="V105" s="2">
        <f>VLOOKUP($C$8,Prijzen!$B$38:$T$41,V$31,FALSE)</f>
        <v>0.23411230073066347</v>
      </c>
      <c r="W105" s="2">
        <f>VLOOKUP($C$8,Prijzen!$B$38:$T$41,W$31,FALSE)</f>
        <v>0.23411230073066347</v>
      </c>
      <c r="X105" s="2">
        <f>VLOOKUP($C$8,Prijzen!$B$38:$T$41,X$31,FALSE)</f>
        <v>0.23411230073066347</v>
      </c>
      <c r="Y105" s="2">
        <f>VLOOKUP($C$8,Prijzen!$B$38:$T$41,Y$31,FALSE)</f>
        <v>0.23411230073066347</v>
      </c>
      <c r="Z105" s="2">
        <f>VLOOKUP($C$8,Prijzen!$B$38:$T$41,Z$31,FALSE)</f>
        <v>0.23411230073066347</v>
      </c>
      <c r="AA105" s="2">
        <f>VLOOKUP($C$8,Prijzen!$B$38:$T$41,AA$31,FALSE)</f>
        <v>0.23411230073066347</v>
      </c>
      <c r="AB105" s="2">
        <f>VLOOKUP($C$8,Prijzen!$B$38:$T$41,AB$31,FALSE)</f>
        <v>0.23411230073066347</v>
      </c>
      <c r="AC105" s="2"/>
      <c r="AD105" s="2">
        <f t="shared" si="169"/>
        <v>6.5524287577541047</v>
      </c>
    </row>
    <row r="106" spans="1:30" x14ac:dyDescent="0.25">
      <c r="A106" t="s">
        <v>21</v>
      </c>
      <c r="B106" s="1">
        <f t="shared" ref="B106:AB106" si="171">B105/(B104/9.5)</f>
        <v>2.3410347528157796</v>
      </c>
      <c r="C106" s="1">
        <f t="shared" si="171"/>
        <v>2.0942577376837876</v>
      </c>
      <c r="D106" s="1">
        <f t="shared" si="171"/>
        <v>1.9249309817396774</v>
      </c>
      <c r="E106" s="1">
        <f t="shared" si="171"/>
        <v>1.8502096601323152</v>
      </c>
      <c r="F106" s="1">
        <f t="shared" si="171"/>
        <v>1.7463684310289247</v>
      </c>
      <c r="G106" s="1">
        <f t="shared" si="171"/>
        <v>1.7035545122001428</v>
      </c>
      <c r="H106" s="1">
        <f t="shared" si="171"/>
        <v>1.7119500139126518</v>
      </c>
      <c r="I106" s="1">
        <f t="shared" si="171"/>
        <v>1.7039444684039335</v>
      </c>
      <c r="J106" s="1">
        <f t="shared" si="171"/>
        <v>1.6959903977012178</v>
      </c>
      <c r="K106" s="1">
        <f t="shared" si="171"/>
        <v>1.6880888512870105</v>
      </c>
      <c r="L106" s="1">
        <f t="shared" si="171"/>
        <v>1.6802408443721761</v>
      </c>
      <c r="M106" s="1">
        <f t="shared" si="171"/>
        <v>1.6724473576075609</v>
      </c>
      <c r="N106" s="1">
        <f t="shared" si="171"/>
        <v>1.6647093368390338</v>
      </c>
      <c r="O106" s="1">
        <f t="shared" si="171"/>
        <v>1.657027692905501</v>
      </c>
      <c r="P106" s="1">
        <f t="shared" si="171"/>
        <v>1.6494033014793619</v>
      </c>
      <c r="Q106" s="1">
        <f t="shared" si="171"/>
        <v>1.6418370029487988</v>
      </c>
      <c r="R106" s="1">
        <f t="shared" si="171"/>
        <v>1.6343296023412266</v>
      </c>
      <c r="S106" s="1">
        <f t="shared" si="171"/>
        <v>1.7119500139126518</v>
      </c>
      <c r="T106" s="1">
        <f t="shared" si="171"/>
        <v>1.7119500139126518</v>
      </c>
      <c r="U106" s="1">
        <f t="shared" si="171"/>
        <v>1.7119500139126518</v>
      </c>
      <c r="V106" s="1">
        <f t="shared" si="171"/>
        <v>1.7119500139126518</v>
      </c>
      <c r="W106" s="1">
        <f t="shared" si="171"/>
        <v>1.7119500139126518</v>
      </c>
      <c r="X106" s="1">
        <f t="shared" si="171"/>
        <v>1.7119500139126518</v>
      </c>
      <c r="Y106" s="1">
        <f t="shared" si="171"/>
        <v>1.7119500139126518</v>
      </c>
      <c r="Z106" s="1">
        <f t="shared" si="171"/>
        <v>1.7119500139126518</v>
      </c>
      <c r="AA106" s="1">
        <f t="shared" si="171"/>
        <v>1.7119500139126518</v>
      </c>
      <c r="AB106" s="1">
        <f t="shared" si="171"/>
        <v>1.7119500139126518</v>
      </c>
      <c r="AC106" s="1"/>
      <c r="AD106" s="1">
        <f t="shared" si="169"/>
        <v>47.179825084525589</v>
      </c>
    </row>
    <row r="107" spans="1:30" x14ac:dyDescent="0.25">
      <c r="A107" t="s">
        <v>30</v>
      </c>
      <c r="B107" s="8">
        <f>IFERROR(B101*Prijzen!$B$83+('Business case'!B100-'Business case'!B101)*'Business case'!B104,"")</f>
        <v>0</v>
      </c>
      <c r="C107" s="8">
        <f>IFERROR(C101*Prijzen!$B$83+('Business case'!C100-'Business case'!C101)*'Business case'!C104,"")</f>
        <v>0</v>
      </c>
      <c r="D107" s="8">
        <f>IFERROR(D101*Prijzen!$B$83+('Business case'!D100-'Business case'!D101)*'Business case'!D104,"")</f>
        <v>0</v>
      </c>
      <c r="E107" s="8">
        <f>IFERROR(E101*Prijzen!$B$83+('Business case'!E100-'Business case'!E101)*'Business case'!E104,"")</f>
        <v>0</v>
      </c>
      <c r="F107" s="8">
        <f>IFERROR(F101*Prijzen!$B$83+('Business case'!F100-'Business case'!F101)*'Business case'!F104,"")</f>
        <v>0</v>
      </c>
      <c r="G107" s="8">
        <f>IFERROR(G101*Prijzen!$B$83+('Business case'!G100-'Business case'!G101)*'Business case'!G104,"")</f>
        <v>0</v>
      </c>
      <c r="H107" s="8">
        <f>IFERROR(H101*Prijzen!$B$83+('Business case'!H100-'Business case'!H101)*'Business case'!H104,"")</f>
        <v>0</v>
      </c>
      <c r="I107" s="8">
        <f>IFERROR(I101*Prijzen!$B$83+('Business case'!I100-'Business case'!I101)*'Business case'!I104,"")</f>
        <v>0</v>
      </c>
      <c r="J107" s="8">
        <f>IFERROR(J101*Prijzen!$B$83+('Business case'!J100-'Business case'!J101)*'Business case'!J104,"")</f>
        <v>0</v>
      </c>
      <c r="K107" s="8">
        <f>IFERROR(K101*Prijzen!$B$83+('Business case'!K100-'Business case'!K101)*'Business case'!K104,"")</f>
        <v>0</v>
      </c>
      <c r="L107" s="8">
        <f>IFERROR(L101*Prijzen!$B$83+('Business case'!L100-'Business case'!L101)*'Business case'!L104,"")</f>
        <v>0</v>
      </c>
      <c r="M107" s="8">
        <f>IFERROR(M101*Prijzen!$B$83+('Business case'!M100-'Business case'!M101)*'Business case'!M104,"")</f>
        <v>0</v>
      </c>
      <c r="N107" s="8">
        <f>IFERROR(N101*Prijzen!$B$83+('Business case'!N100-'Business case'!N101)*'Business case'!N104,"")</f>
        <v>0</v>
      </c>
      <c r="O107" s="8">
        <f>IFERROR(O101*Prijzen!$B$83+('Business case'!O100-'Business case'!O101)*'Business case'!O104,"")</f>
        <v>0</v>
      </c>
      <c r="P107" s="8">
        <f>IFERROR(P101*Prijzen!$B$83+('Business case'!P100-'Business case'!P101)*'Business case'!P104,"")</f>
        <v>0</v>
      </c>
      <c r="Q107" s="8">
        <f>IFERROR(Q101*Prijzen!$B$83+('Business case'!Q100-'Business case'!Q101)*'Business case'!Q104,"")</f>
        <v>0</v>
      </c>
      <c r="R107" s="8">
        <f>IFERROR(R101*Prijzen!$B$83+('Business case'!R100-'Business case'!R101)*'Business case'!R104,"")</f>
        <v>0</v>
      </c>
      <c r="S107" s="8">
        <f>IFERROR(S101*Prijzen!$B$83+('Business case'!S100-'Business case'!S101)*'Business case'!S104,"")</f>
        <v>0</v>
      </c>
      <c r="T107" s="8">
        <f>IFERROR(T101*Prijzen!$B$83+('Business case'!T100-'Business case'!T101)*'Business case'!T104,"")</f>
        <v>0</v>
      </c>
      <c r="U107" s="8">
        <f>IFERROR(U101*Prijzen!$B$83+('Business case'!U100-'Business case'!U101)*'Business case'!U104,"")</f>
        <v>0</v>
      </c>
      <c r="V107" s="8">
        <f>IFERROR(V101*Prijzen!$B$83+('Business case'!V100-'Business case'!V101)*'Business case'!V104,"")</f>
        <v>0</v>
      </c>
      <c r="W107" s="8">
        <f>IFERROR(W101*Prijzen!$B$83+('Business case'!W100-'Business case'!W101)*'Business case'!W104,"")</f>
        <v>0</v>
      </c>
      <c r="X107" s="8">
        <f>IFERROR(X101*Prijzen!$B$83+('Business case'!X100-'Business case'!X101)*'Business case'!X104,"")</f>
        <v>0</v>
      </c>
      <c r="Y107" s="8">
        <f>IFERROR(Y101*Prijzen!$B$83+('Business case'!Y100-'Business case'!Y101)*'Business case'!Y104,"")</f>
        <v>0</v>
      </c>
      <c r="Z107" s="8">
        <f>IFERROR(Z101*Prijzen!$B$83+('Business case'!Z100-'Business case'!Z101)*'Business case'!Z104,"")</f>
        <v>0</v>
      </c>
      <c r="AA107" s="8">
        <f>IFERROR(AA101*Prijzen!$B$83+('Business case'!AA100-'Business case'!AA101)*'Business case'!AA104,"")</f>
        <v>0</v>
      </c>
      <c r="AB107" s="8">
        <f>IFERROR(AB101*Prijzen!$B$83+('Business case'!AB100-'Business case'!AB101)*'Business case'!AB104,"")</f>
        <v>0</v>
      </c>
      <c r="AC107" s="8"/>
      <c r="AD107" s="8">
        <f t="shared" si="169"/>
        <v>0</v>
      </c>
    </row>
    <row r="108" spans="1:30" x14ac:dyDescent="0.25">
      <c r="A108" t="s">
        <v>31</v>
      </c>
      <c r="B108" s="8">
        <f>IFERROR(B103*Prijzen!$C$83+('Business case'!B102-'Business case'!B103)*'Business case'!B105,"")</f>
        <v>0</v>
      </c>
      <c r="C108" s="8">
        <f>IFERROR(C103*Prijzen!$C$83+('Business case'!C102-'Business case'!C103)*'Business case'!C105,"")</f>
        <v>610.45826725357324</v>
      </c>
      <c r="D108" s="8">
        <f>IFERROR(D103*Prijzen!$C$83+('Business case'!D102-'Business case'!D103)*'Business case'!D105,"")</f>
        <v>550.89382769440874</v>
      </c>
      <c r="E108" s="8">
        <f>IFERROR(E103*Prijzen!$C$83+('Business case'!E102-'Business case'!E103)*'Business case'!E105,"")</f>
        <v>522.67230668735999</v>
      </c>
      <c r="F108" s="8">
        <f>IFERROR(F103*Prijzen!$C$83+('Business case'!F102-'Business case'!F103)*'Business case'!F105,"")</f>
        <v>497.20114125202844</v>
      </c>
      <c r="G108" s="8">
        <f>IFERROR(G103*Prijzen!$C$83+('Business case'!G102-'Business case'!G103)*'Business case'!G105,"")</f>
        <v>502.77667109446554</v>
      </c>
      <c r="H108" s="8">
        <f>IFERROR(H103*Prijzen!$C$83+('Business case'!H102-'Business case'!H103)*'Business case'!H105,"")</f>
        <v>518.01694336530011</v>
      </c>
      <c r="I108" s="8">
        <f>IFERROR(I103*Prijzen!$C$83+('Business case'!I102-'Business case'!I103)*'Business case'!I105,"")</f>
        <v>522.38430581261241</v>
      </c>
      <c r="J108" s="8">
        <f>IFERROR(J103*Prijzen!$C$83+('Business case'!J102-'Business case'!J103)*'Business case'!J105,"")</f>
        <v>526.83901550887106</v>
      </c>
      <c r="K108" s="8">
        <f>IFERROR(K103*Prijzen!$C$83+('Business case'!K102-'Business case'!K103)*'Business case'!K105,"")</f>
        <v>531.38281939905471</v>
      </c>
      <c r="L108" s="8">
        <f>IFERROR(L103*Prijzen!$C$83+('Business case'!L102-'Business case'!L103)*'Business case'!L105,"")</f>
        <v>536.01749936704221</v>
      </c>
      <c r="M108" s="8">
        <f>IFERROR(M103*Prijzen!$C$83+('Business case'!M102-'Business case'!M103)*'Business case'!M105,"")</f>
        <v>540.74487293438938</v>
      </c>
      <c r="N108" s="8">
        <f>IFERROR(N103*Prijzen!$C$83+('Business case'!N102-'Business case'!N103)*'Business case'!N105,"")</f>
        <v>545.56679397308346</v>
      </c>
      <c r="O108" s="8">
        <f>IFERROR(O103*Prijzen!$C$83+('Business case'!O102-'Business case'!O103)*'Business case'!O105,"")</f>
        <v>550.48515343255144</v>
      </c>
      <c r="P108" s="8">
        <f>IFERROR(P103*Prijzen!$C$83+('Business case'!P102-'Business case'!P103)*'Business case'!P105,"")</f>
        <v>555.50188008120881</v>
      </c>
      <c r="Q108" s="8">
        <f>IFERROR(Q103*Prijzen!$C$83+('Business case'!Q102-'Business case'!Q103)*'Business case'!Q105,"")</f>
        <v>560.61894126283937</v>
      </c>
      <c r="R108" s="8">
        <f>IFERROR(R103*Prijzen!$C$83+('Business case'!R102-'Business case'!R103)*'Business case'!R105,"")</f>
        <v>0</v>
      </c>
      <c r="S108" s="8">
        <f>IFERROR(S103*Prijzen!$C$83+('Business case'!S102-'Business case'!S103)*'Business case'!S105,"")</f>
        <v>0</v>
      </c>
      <c r="T108" s="8">
        <f>IFERROR(T103*Prijzen!$C$83+('Business case'!T102-'Business case'!T103)*'Business case'!T105,"")</f>
        <v>0</v>
      </c>
      <c r="U108" s="8">
        <f>IFERROR(U103*Prijzen!$C$83+('Business case'!U102-'Business case'!U103)*'Business case'!U105,"")</f>
        <v>0</v>
      </c>
      <c r="V108" s="8">
        <f>IFERROR(V103*Prijzen!$C$83+('Business case'!V102-'Business case'!V103)*'Business case'!V105,"")</f>
        <v>0</v>
      </c>
      <c r="W108" s="8">
        <f>IFERROR(W103*Prijzen!$C$83+('Business case'!W102-'Business case'!W103)*'Business case'!W105,"")</f>
        <v>0</v>
      </c>
      <c r="X108" s="8">
        <f>IFERROR(X103*Prijzen!$C$83+('Business case'!X102-'Business case'!X103)*'Business case'!X105,"")</f>
        <v>0</v>
      </c>
      <c r="Y108" s="8">
        <f>IFERROR(Y103*Prijzen!$C$83+('Business case'!Y102-'Business case'!Y103)*'Business case'!Y105,"")</f>
        <v>0</v>
      </c>
      <c r="Z108" s="8">
        <f>IFERROR(Z103*Prijzen!$C$83+('Business case'!Z102-'Business case'!Z103)*'Business case'!Z105,"")</f>
        <v>0</v>
      </c>
      <c r="AA108" s="8">
        <f>IFERROR(AA103*Prijzen!$C$83+('Business case'!AA102-'Business case'!AA103)*'Business case'!AA105,"")</f>
        <v>0</v>
      </c>
      <c r="AB108" s="8">
        <f>IFERROR(AB103*Prijzen!$C$83+('Business case'!AB102-'Business case'!AB103)*'Business case'!AB105,"")</f>
        <v>0</v>
      </c>
      <c r="AC108" s="8"/>
      <c r="AD108" s="8">
        <f t="shared" si="169"/>
        <v>8071.5604391187899</v>
      </c>
    </row>
    <row r="109" spans="1:30" x14ac:dyDescent="0.25">
      <c r="A109" t="s">
        <v>32</v>
      </c>
      <c r="B109" s="8">
        <f t="shared" ref="B109:AB109" si="172">IF($C$4=100%,0,B94)</f>
        <v>0</v>
      </c>
      <c r="C109" s="8">
        <f t="shared" si="172"/>
        <v>0</v>
      </c>
      <c r="D109" s="8">
        <f t="shared" si="172"/>
        <v>0</v>
      </c>
      <c r="E109" s="8">
        <f t="shared" si="172"/>
        <v>0</v>
      </c>
      <c r="F109" s="8">
        <f t="shared" si="172"/>
        <v>0</v>
      </c>
      <c r="G109" s="8">
        <f t="shared" si="172"/>
        <v>0</v>
      </c>
      <c r="H109" s="8">
        <f t="shared" si="172"/>
        <v>0</v>
      </c>
      <c r="I109" s="8">
        <f t="shared" si="172"/>
        <v>0</v>
      </c>
      <c r="J109" s="8">
        <f t="shared" si="172"/>
        <v>0</v>
      </c>
      <c r="K109" s="8">
        <f t="shared" si="172"/>
        <v>0</v>
      </c>
      <c r="L109" s="8">
        <f t="shared" si="172"/>
        <v>0</v>
      </c>
      <c r="M109" s="8">
        <f t="shared" si="172"/>
        <v>0</v>
      </c>
      <c r="N109" s="8">
        <f t="shared" si="172"/>
        <v>0</v>
      </c>
      <c r="O109" s="8">
        <f t="shared" si="172"/>
        <v>0</v>
      </c>
      <c r="P109" s="8">
        <f t="shared" si="172"/>
        <v>0</v>
      </c>
      <c r="Q109" s="8">
        <f t="shared" si="172"/>
        <v>0</v>
      </c>
      <c r="R109" s="8">
        <f t="shared" si="172"/>
        <v>0</v>
      </c>
      <c r="S109" s="8">
        <f t="shared" si="172"/>
        <v>0</v>
      </c>
      <c r="T109" s="8">
        <f t="shared" si="172"/>
        <v>0</v>
      </c>
      <c r="U109" s="8">
        <f t="shared" si="172"/>
        <v>0</v>
      </c>
      <c r="V109" s="8">
        <f t="shared" si="172"/>
        <v>0</v>
      </c>
      <c r="W109" s="8">
        <f t="shared" si="172"/>
        <v>0</v>
      </c>
      <c r="X109" s="8">
        <f t="shared" si="172"/>
        <v>0</v>
      </c>
      <c r="Y109" s="8">
        <f t="shared" si="172"/>
        <v>0</v>
      </c>
      <c r="Z109" s="8">
        <f t="shared" si="172"/>
        <v>0</v>
      </c>
      <c r="AA109" s="8">
        <f t="shared" si="172"/>
        <v>0</v>
      </c>
      <c r="AB109" s="8">
        <f t="shared" si="172"/>
        <v>0</v>
      </c>
      <c r="AC109" s="8"/>
      <c r="AD109" s="8">
        <f t="shared" si="169"/>
        <v>0</v>
      </c>
    </row>
    <row r="110" spans="1:30" x14ac:dyDescent="0.25">
      <c r="A110" t="s">
        <v>33</v>
      </c>
      <c r="B110" s="8">
        <f t="shared" ref="B110:AB110" si="173">IF($C$4=100%,0,B95)</f>
        <v>0</v>
      </c>
      <c r="C110" s="8">
        <f t="shared" si="173"/>
        <v>0</v>
      </c>
      <c r="D110" s="8">
        <f t="shared" si="173"/>
        <v>0</v>
      </c>
      <c r="E110" s="8">
        <f t="shared" si="173"/>
        <v>0</v>
      </c>
      <c r="F110" s="8">
        <f t="shared" si="173"/>
        <v>0</v>
      </c>
      <c r="G110" s="8">
        <f t="shared" si="173"/>
        <v>0</v>
      </c>
      <c r="H110" s="8">
        <f t="shared" si="173"/>
        <v>0</v>
      </c>
      <c r="I110" s="8">
        <f t="shared" si="173"/>
        <v>0</v>
      </c>
      <c r="J110" s="8">
        <f t="shared" si="173"/>
        <v>0</v>
      </c>
      <c r="K110" s="8">
        <f t="shared" si="173"/>
        <v>0</v>
      </c>
      <c r="L110" s="8">
        <f t="shared" si="173"/>
        <v>0</v>
      </c>
      <c r="M110" s="8">
        <f t="shared" si="173"/>
        <v>0</v>
      </c>
      <c r="N110" s="8">
        <f t="shared" si="173"/>
        <v>0</v>
      </c>
      <c r="O110" s="8">
        <f t="shared" si="173"/>
        <v>0</v>
      </c>
      <c r="P110" s="8">
        <f t="shared" si="173"/>
        <v>0</v>
      </c>
      <c r="Q110" s="8">
        <f t="shared" si="173"/>
        <v>0</v>
      </c>
      <c r="R110" s="8">
        <f t="shared" si="173"/>
        <v>0</v>
      </c>
      <c r="S110" s="8">
        <f t="shared" si="173"/>
        <v>0</v>
      </c>
      <c r="T110" s="8">
        <f t="shared" si="173"/>
        <v>0</v>
      </c>
      <c r="U110" s="8">
        <f t="shared" si="173"/>
        <v>0</v>
      </c>
      <c r="V110" s="8">
        <f t="shared" si="173"/>
        <v>0</v>
      </c>
      <c r="W110" s="8">
        <f t="shared" si="173"/>
        <v>0</v>
      </c>
      <c r="X110" s="8">
        <f t="shared" si="173"/>
        <v>0</v>
      </c>
      <c r="Y110" s="8">
        <f t="shared" si="173"/>
        <v>0</v>
      </c>
      <c r="Z110" s="8">
        <f t="shared" si="173"/>
        <v>0</v>
      </c>
      <c r="AA110" s="8">
        <f t="shared" si="173"/>
        <v>0</v>
      </c>
      <c r="AB110" s="8">
        <f t="shared" si="173"/>
        <v>0</v>
      </c>
      <c r="AC110" s="8"/>
      <c r="AD110" s="8">
        <f t="shared" si="169"/>
        <v>0</v>
      </c>
    </row>
    <row r="111" spans="1:30" x14ac:dyDescent="0.25">
      <c r="A111" t="s">
        <v>70</v>
      </c>
      <c r="B111" s="8">
        <f>IF(B$33="JA",IF($C$4="100"%,0,Prijzen!D132),0)</f>
        <v>0</v>
      </c>
      <c r="C111" s="8">
        <f>IF(C$33="JA",IF($C$4="100"%,0,Prijzen!E132),0)</f>
        <v>0</v>
      </c>
      <c r="D111" s="8">
        <f>IF(D$33="JA",IF($C$4="100"%,0,Prijzen!F132),0)</f>
        <v>0</v>
      </c>
      <c r="E111" s="8">
        <f>IF(E$33="JA",IF($C$4="100"%,0,Prijzen!G132),0)</f>
        <v>0</v>
      </c>
      <c r="F111" s="8">
        <f>IF(F$33="JA",IF($C$4="100"%,0,Prijzen!H132),0)</f>
        <v>0</v>
      </c>
      <c r="G111" s="8">
        <f>IF(G$33="JA",IF($C$4="100"%,0,Prijzen!I132),0)</f>
        <v>0</v>
      </c>
      <c r="H111" s="8">
        <f>IF(H$33="JA",IF($C$4="100"%,0,Prijzen!J132),0)</f>
        <v>0</v>
      </c>
      <c r="I111" s="8">
        <f>IF(I$33="JA",IF($C$4="100"%,0,Prijzen!K132),0)</f>
        <v>0</v>
      </c>
      <c r="J111" s="8">
        <f>IF(J$33="JA",IF($C$4="100"%,0,Prijzen!L132),0)</f>
        <v>0</v>
      </c>
      <c r="K111" s="8">
        <f>IF(K$33="JA",IF($C$4="100"%,0,Prijzen!M132),0)</f>
        <v>0</v>
      </c>
      <c r="L111" s="8">
        <f>IF(L$33="JA",IF($C$4="100"%,0,Prijzen!N132),0)</f>
        <v>0</v>
      </c>
      <c r="M111" s="8">
        <f>IF(M$33="JA",IF($C$4="100"%,0,Prijzen!O132),0)</f>
        <v>0</v>
      </c>
      <c r="N111" s="8">
        <f>IF(N$33="JA",IF($C$4="100"%,0,Prijzen!P132),0)</f>
        <v>0</v>
      </c>
      <c r="O111" s="8">
        <f>IF(O$33="JA",IF($C$4="100"%,0,Prijzen!Q132),0)</f>
        <v>0</v>
      </c>
      <c r="P111" s="8">
        <f>IF(P$33="JA",IF($C$4="100"%,0,Prijzen!R132),0)</f>
        <v>0</v>
      </c>
      <c r="Q111" s="8">
        <f>IF(Q$33="JA",IF($C$4="100"%,0,Prijzen!S132),0)</f>
        <v>0</v>
      </c>
      <c r="R111" s="8">
        <f>IF(R$33="JA",IF($C$4="100"%,0,Prijzen!T132),0)</f>
        <v>0</v>
      </c>
      <c r="S111" s="8">
        <f>IF(S$33="JA",IF($C$4="100"%,0,Prijzen!U132),0)</f>
        <v>0</v>
      </c>
      <c r="T111" s="8">
        <f>IF(T$33="JA",IF($C$4="100"%,0,Prijzen!V132),0)</f>
        <v>0</v>
      </c>
      <c r="U111" s="8">
        <f>IF(U$33="JA",IF($C$4="100"%,0,Prijzen!W132),0)</f>
        <v>0</v>
      </c>
      <c r="V111" s="8">
        <f>IF(V$33="JA",IF($C$4="100"%,0,Prijzen!X132),0)</f>
        <v>0</v>
      </c>
      <c r="W111" s="8">
        <f>IF(W$33="JA",IF($C$4="100"%,0,Prijzen!Y132),0)</f>
        <v>0</v>
      </c>
      <c r="X111" s="8">
        <f>IF(X$33="JA",IF($C$4="100"%,0,Prijzen!Z132),0)</f>
        <v>0</v>
      </c>
      <c r="Y111" s="8">
        <f>IF(Y$33="JA",IF($C$4="100"%,0,Prijzen!AA132),0)</f>
        <v>0</v>
      </c>
      <c r="Z111" s="8">
        <f>IF(Z$33="JA",IF($C$4="100"%,0,Prijzen!AB132),0)</f>
        <v>0</v>
      </c>
      <c r="AA111" s="8">
        <f>IF(AA$33="JA",IF($C$4="100"%,0,Prijzen!AC132),0)</f>
        <v>0</v>
      </c>
      <c r="AB111" s="8">
        <f>IF(AB$33="JA",IF($C$4="100"%,0,Prijzen!AD132),0)</f>
        <v>0</v>
      </c>
      <c r="AC111" s="8"/>
      <c r="AD111" s="8">
        <f t="shared" si="169"/>
        <v>0</v>
      </c>
    </row>
    <row r="112" spans="1:30" x14ac:dyDescent="0.25">
      <c r="A112" t="s">
        <v>121</v>
      </c>
      <c r="B112" s="8">
        <f>IF(B$33="JA",-PMT($E$17,15,$E$15,0,1),0)</f>
        <v>0</v>
      </c>
      <c r="C112" s="8">
        <f t="shared" ref="C112:AB112" si="174">IF(C$33="JA",-PMT($E$17,15,$E$15,0,1),0)</f>
        <v>1448.861363592797</v>
      </c>
      <c r="D112" s="8">
        <f t="shared" si="174"/>
        <v>1448.861363592797</v>
      </c>
      <c r="E112" s="8">
        <f t="shared" si="174"/>
        <v>1448.861363592797</v>
      </c>
      <c r="F112" s="8">
        <f t="shared" si="174"/>
        <v>1448.861363592797</v>
      </c>
      <c r="G112" s="8">
        <f t="shared" si="174"/>
        <v>1448.861363592797</v>
      </c>
      <c r="H112" s="8">
        <f t="shared" si="174"/>
        <v>1448.861363592797</v>
      </c>
      <c r="I112" s="8">
        <f t="shared" si="174"/>
        <v>1448.861363592797</v>
      </c>
      <c r="J112" s="8">
        <f t="shared" si="174"/>
        <v>1448.861363592797</v>
      </c>
      <c r="K112" s="8">
        <f t="shared" si="174"/>
        <v>1448.861363592797</v>
      </c>
      <c r="L112" s="8">
        <f t="shared" si="174"/>
        <v>1448.861363592797</v>
      </c>
      <c r="M112" s="8">
        <f t="shared" si="174"/>
        <v>1448.861363592797</v>
      </c>
      <c r="N112" s="8">
        <f t="shared" si="174"/>
        <v>1448.861363592797</v>
      </c>
      <c r="O112" s="8">
        <f t="shared" si="174"/>
        <v>1448.861363592797</v>
      </c>
      <c r="P112" s="8">
        <f t="shared" si="174"/>
        <v>1448.861363592797</v>
      </c>
      <c r="Q112" s="8">
        <f t="shared" si="174"/>
        <v>1448.861363592797</v>
      </c>
      <c r="R112" s="8">
        <f t="shared" si="174"/>
        <v>0</v>
      </c>
      <c r="S112" s="8">
        <f t="shared" si="174"/>
        <v>0</v>
      </c>
      <c r="T112" s="8">
        <f t="shared" si="174"/>
        <v>0</v>
      </c>
      <c r="U112" s="8">
        <f t="shared" si="174"/>
        <v>0</v>
      </c>
      <c r="V112" s="8">
        <f t="shared" si="174"/>
        <v>0</v>
      </c>
      <c r="W112" s="8">
        <f t="shared" si="174"/>
        <v>0</v>
      </c>
      <c r="X112" s="8">
        <f t="shared" si="174"/>
        <v>0</v>
      </c>
      <c r="Y112" s="8">
        <f t="shared" si="174"/>
        <v>0</v>
      </c>
      <c r="Z112" s="8">
        <f t="shared" si="174"/>
        <v>0</v>
      </c>
      <c r="AA112" s="8">
        <f t="shared" si="174"/>
        <v>0</v>
      </c>
      <c r="AB112" s="8">
        <f t="shared" si="174"/>
        <v>0</v>
      </c>
      <c r="AC112" s="8"/>
      <c r="AD112" s="8">
        <f t="shared" si="169"/>
        <v>21732.920453891962</v>
      </c>
    </row>
    <row r="113" spans="1:30" x14ac:dyDescent="0.25">
      <c r="A113" t="s">
        <v>35</v>
      </c>
      <c r="B113" s="8">
        <f>IF(B$33="JA",Kengetallen!$B$60*(1+Kengetallen!$B$2)^'Business case'!B$32,0)</f>
        <v>0</v>
      </c>
      <c r="C113" s="8">
        <f>IF(C$33="JA",Kengetallen!$B$60*(1+Kengetallen!$B$2)^'Business case'!C$32,0)</f>
        <v>127.5</v>
      </c>
      <c r="D113" s="8">
        <f>IF(D$33="JA",Kengetallen!$B$60*(1+Kengetallen!$B$2)^'Business case'!D$32,0)</f>
        <v>130.05000000000001</v>
      </c>
      <c r="E113" s="8">
        <f>IF(E$33="JA",Kengetallen!$B$60*(1+Kengetallen!$B$2)^'Business case'!E$32,0)</f>
        <v>132.65099999999998</v>
      </c>
      <c r="F113" s="8">
        <f>IF(F$33="JA",Kengetallen!$B$60*(1+Kengetallen!$B$2)^'Business case'!F$32,0)</f>
        <v>135.30402000000001</v>
      </c>
      <c r="G113" s="8">
        <f>IF(G$33="JA",Kengetallen!$B$60*(1+Kengetallen!$B$2)^'Business case'!G$32,0)</f>
        <v>138.0101004</v>
      </c>
      <c r="H113" s="8">
        <f>IF(H$33="JA",Kengetallen!$B$60*(1+Kengetallen!$B$2)^'Business case'!H$32,0)</f>
        <v>140.77030240800002</v>
      </c>
      <c r="I113" s="8">
        <f>IF(I$33="JA",Kengetallen!$B$60*(1+Kengetallen!$B$2)^'Business case'!I$32,0)</f>
        <v>143.58570845615998</v>
      </c>
      <c r="J113" s="8">
        <f>IF(J$33="JA",Kengetallen!$B$60*(1+Kengetallen!$B$2)^'Business case'!J$32,0)</f>
        <v>146.45742262528319</v>
      </c>
      <c r="K113" s="8">
        <f>IF(K$33="JA",Kengetallen!$B$60*(1+Kengetallen!$B$2)^'Business case'!K$32,0)</f>
        <v>149.38657107778886</v>
      </c>
      <c r="L113" s="8">
        <f>IF(L$33="JA",Kengetallen!$B$60*(1+Kengetallen!$B$2)^'Business case'!L$32,0)</f>
        <v>152.37430249934465</v>
      </c>
      <c r="M113" s="8">
        <f>IF(M$33="JA",Kengetallen!$B$60*(1+Kengetallen!$B$2)^'Business case'!M$32,0)</f>
        <v>155.4217885493315</v>
      </c>
      <c r="N113" s="8">
        <f>IF(N$33="JA",Kengetallen!$B$60*(1+Kengetallen!$B$2)^'Business case'!N$32,0)</f>
        <v>158.53022432031815</v>
      </c>
      <c r="O113" s="8">
        <f>IF(O$33="JA",Kengetallen!$B$60*(1+Kengetallen!$B$2)^'Business case'!O$32,0)</f>
        <v>161.7008288067245</v>
      </c>
      <c r="P113" s="8">
        <f>IF(P$33="JA",Kengetallen!$B$60*(1+Kengetallen!$B$2)^'Business case'!P$32,0)</f>
        <v>164.93484538285901</v>
      </c>
      <c r="Q113" s="8">
        <f>IF(Q$33="JA",Kengetallen!$B$60*(1+Kengetallen!$B$2)^'Business case'!Q$32,0)</f>
        <v>168.23354229051614</v>
      </c>
      <c r="R113" s="8">
        <f>IF(R$33="JA",Kengetallen!$B$60*(1+Kengetallen!$B$2)^'Business case'!R$32,0)</f>
        <v>0</v>
      </c>
      <c r="S113" s="8">
        <f>IF(S$33="JA",Kengetallen!$B$60*(1+Kengetallen!$B$2)^'Business case'!S$32,0)</f>
        <v>0</v>
      </c>
      <c r="T113" s="8">
        <f>IF(T$33="JA",Kengetallen!$B$60*(1+Kengetallen!$B$2)^'Business case'!T$32,0)</f>
        <v>0</v>
      </c>
      <c r="U113" s="8">
        <f>IF(U$33="JA",Kengetallen!$B$60*(1+Kengetallen!$B$2)^'Business case'!U$32,0)</f>
        <v>0</v>
      </c>
      <c r="V113" s="8">
        <f>IF(V$33="JA",Kengetallen!$B$60*(1+Kengetallen!$B$2)^'Business case'!V$32,0)</f>
        <v>0</v>
      </c>
      <c r="W113" s="8">
        <f>IF(W$33="JA",Kengetallen!$B$60*(1+Kengetallen!$B$2)^'Business case'!W$32,0)</f>
        <v>0</v>
      </c>
      <c r="X113" s="8">
        <f>IF(X$33="JA",Kengetallen!$B$60*(1+Kengetallen!$B$2)^'Business case'!X$32,0)</f>
        <v>0</v>
      </c>
      <c r="Y113" s="8">
        <f>IF(Y$33="JA",Kengetallen!$B$60*(1+Kengetallen!$B$2)^'Business case'!Y$32,0)</f>
        <v>0</v>
      </c>
      <c r="Z113" s="8">
        <f>IF(Z$33="JA",Kengetallen!$B$60*(1+Kengetallen!$B$2)^'Business case'!Z$32,0)</f>
        <v>0</v>
      </c>
      <c r="AA113" s="8">
        <f>IF(AA$33="JA",Kengetallen!$B$60*(1+Kengetallen!$B$2)^'Business case'!AA$32,0)</f>
        <v>0</v>
      </c>
      <c r="AB113" s="8">
        <f>IF(AB$33="JA",Kengetallen!$B$60*(1+Kengetallen!$B$2)^'Business case'!AB$32,0)</f>
        <v>0</v>
      </c>
      <c r="AC113" s="8"/>
      <c r="AD113" s="8">
        <f t="shared" si="169"/>
        <v>2204.9106568163261</v>
      </c>
    </row>
    <row r="114" spans="1:30" x14ac:dyDescent="0.25">
      <c r="A114" t="s">
        <v>54</v>
      </c>
      <c r="B114" s="10">
        <f>IF(B$33="JA",($E$19+$C$7)*(1+Kengetallen!$B$19)^B$32,0)</f>
        <v>0</v>
      </c>
      <c r="C114" s="10">
        <f>IF(C$33="JA",($E$19+$C$7)*(1+Kengetallen!$B$19)^C$32,0)</f>
        <v>1636.2104680851064</v>
      </c>
      <c r="D114" s="10">
        <f>IF(D$33="JA",($E$19+$C$7)*(1+Kengetallen!$B$19)^D$32,0)</f>
        <v>1624.7569948085104</v>
      </c>
      <c r="E114" s="10">
        <f>IF(E$33="JA",($E$19+$C$7)*(1+Kengetallen!$B$19)^E$32,0)</f>
        <v>1613.383695844851</v>
      </c>
      <c r="F114" s="10">
        <f>IF(F$33="JA",($E$19+$C$7)*(1+Kengetallen!$B$19)^F$32,0)</f>
        <v>1602.090009973937</v>
      </c>
      <c r="G114" s="10">
        <f>IF(G$33="JA",($E$19+$C$7)*(1+Kengetallen!$B$19)^G$32,0)</f>
        <v>1590.8753799041194</v>
      </c>
      <c r="H114" s="10">
        <f>IF(H$33="JA",($E$19+$C$7)*(1+Kengetallen!$B$19)^H$32,0)</f>
        <v>1579.7392522447904</v>
      </c>
      <c r="I114" s="10">
        <f>IF(I$33="JA",($E$19+$C$7)*(1+Kengetallen!$B$19)^I$32,0)</f>
        <v>1568.6810774790767</v>
      </c>
      <c r="J114" s="10">
        <f>IF(J$33="JA",($E$19+$C$7)*(1+Kengetallen!$B$19)^J$32,0)</f>
        <v>1557.7003099367232</v>
      </c>
      <c r="K114" s="10">
        <f>IF(K$33="JA",($E$19+$C$7)*(1+Kengetallen!$B$19)^K$32,0)</f>
        <v>1546.7964077671661</v>
      </c>
      <c r="L114" s="10">
        <f>IF(L$33="JA",($E$19+$C$7)*(1+Kengetallen!$B$19)^L$32,0)</f>
        <v>1535.968832912796</v>
      </c>
      <c r="M114" s="10">
        <f>IF(M$33="JA",($E$19+$C$7)*(1+Kengetallen!$B$19)^M$32,0)</f>
        <v>1525.2170510824062</v>
      </c>
      <c r="N114" s="10">
        <f>IF(N$33="JA",($E$19+$C$7)*(1+Kengetallen!$B$19)^N$32,0)</f>
        <v>1514.5405317248294</v>
      </c>
      <c r="O114" s="10">
        <f>IF(O$33="JA",($E$19+$C$7)*(1+Kengetallen!$B$19)^O$32,0)</f>
        <v>1503.9387480027556</v>
      </c>
      <c r="P114" s="10">
        <f>IF(P$33="JA",($E$19+$C$7)*(1+Kengetallen!$B$19)^P$32,0)</f>
        <v>1493.4111767667364</v>
      </c>
      <c r="Q114" s="10">
        <f>IF(Q$33="JA",($E$19+$C$7)*(1+Kengetallen!$B$19)^Q$32,0)</f>
        <v>1482.9572985293692</v>
      </c>
      <c r="R114" s="10">
        <f>IF(R$33="JA",($E$19+$C$7)*(1+Kengetallen!$B$19)^R$32,0)</f>
        <v>0</v>
      </c>
      <c r="S114" s="10">
        <f>IF(S$33="JA",($E$19+$C$7)*(1+Kengetallen!$B$19)^S$32,0)</f>
        <v>0</v>
      </c>
      <c r="T114" s="10">
        <f>IF(T$33="JA",($E$19+$C$7)*(1+Kengetallen!$B$19)^T$32,0)</f>
        <v>0</v>
      </c>
      <c r="U114" s="10">
        <f>IF(U$33="JA",($E$19+$C$7)*(1+Kengetallen!$B$19)^U$32,0)</f>
        <v>0</v>
      </c>
      <c r="V114" s="10">
        <f>IF(V$33="JA",($E$19+$C$7)*(1+Kengetallen!$B$19)^V$32,0)</f>
        <v>0</v>
      </c>
      <c r="W114" s="10">
        <f>IF(W$33="JA",($E$19+$C$7)*(1+Kengetallen!$B$19)^W$32,0)</f>
        <v>0</v>
      </c>
      <c r="X114" s="10">
        <f>IF(X$33="JA",($E$19+$C$7)*(1+Kengetallen!$B$19)^X$32,0)</f>
        <v>0</v>
      </c>
      <c r="Y114" s="10">
        <f>IF(Y$33="JA",($E$19+$C$7)*(1+Kengetallen!$B$19)^Y$32,0)</f>
        <v>0</v>
      </c>
      <c r="Z114" s="10">
        <f>IF(Z$33="JA",($E$19+$C$7)*(1+Kengetallen!$B$19)^Z$32,0)</f>
        <v>0</v>
      </c>
      <c r="AA114" s="10">
        <f>IF(AA$33="JA",($E$19+$C$7)*(1+Kengetallen!$B$19)^AA$32,0)</f>
        <v>0</v>
      </c>
      <c r="AB114" s="10">
        <f>IF(AB$33="JA",($E$19+$C$7)*(1+Kengetallen!$B$19)^AB$32,0)</f>
        <v>0</v>
      </c>
      <c r="AC114" s="10"/>
      <c r="AD114" s="10">
        <f t="shared" si="169"/>
        <v>23376.267235063176</v>
      </c>
    </row>
    <row r="115" spans="1:30" x14ac:dyDescent="0.25">
      <c r="A115" t="s">
        <v>56</v>
      </c>
      <c r="B115" s="10">
        <f>IF(B$33="JA",B114*$E$16,0)</f>
        <v>0</v>
      </c>
      <c r="C115" s="10">
        <f t="shared" ref="C115:AB115" si="175">IF(C$33="JA",C114*$E$16,0)</f>
        <v>654.48418723404257</v>
      </c>
      <c r="D115" s="10">
        <f t="shared" si="175"/>
        <v>649.90279792340425</v>
      </c>
      <c r="E115" s="10">
        <f t="shared" si="175"/>
        <v>645.35347833794049</v>
      </c>
      <c r="F115" s="10">
        <f t="shared" si="175"/>
        <v>640.83600398957481</v>
      </c>
      <c r="G115" s="10">
        <f t="shared" si="175"/>
        <v>636.35015196164784</v>
      </c>
      <c r="H115" s="10">
        <f t="shared" si="175"/>
        <v>631.89570089791619</v>
      </c>
      <c r="I115" s="10">
        <f t="shared" si="175"/>
        <v>627.47243099163074</v>
      </c>
      <c r="J115" s="10">
        <f t="shared" si="175"/>
        <v>623.08012397468929</v>
      </c>
      <c r="K115" s="10">
        <f t="shared" si="175"/>
        <v>618.71856310686644</v>
      </c>
      <c r="L115" s="10">
        <f t="shared" si="175"/>
        <v>614.38753316511838</v>
      </c>
      <c r="M115" s="10">
        <f t="shared" si="175"/>
        <v>610.08682043296255</v>
      </c>
      <c r="N115" s="10">
        <f t="shared" si="175"/>
        <v>605.81621268993183</v>
      </c>
      <c r="O115" s="10">
        <f t="shared" si="175"/>
        <v>601.57549920110228</v>
      </c>
      <c r="P115" s="10">
        <f t="shared" si="175"/>
        <v>597.36447070669453</v>
      </c>
      <c r="Q115" s="10">
        <f t="shared" si="175"/>
        <v>593.18291941174766</v>
      </c>
      <c r="R115" s="10">
        <f t="shared" si="175"/>
        <v>0</v>
      </c>
      <c r="S115" s="10">
        <f t="shared" si="175"/>
        <v>0</v>
      </c>
      <c r="T115" s="10">
        <f t="shared" si="175"/>
        <v>0</v>
      </c>
      <c r="U115" s="10">
        <f t="shared" si="175"/>
        <v>0</v>
      </c>
      <c r="V115" s="10">
        <f t="shared" si="175"/>
        <v>0</v>
      </c>
      <c r="W115" s="10">
        <f t="shared" si="175"/>
        <v>0</v>
      </c>
      <c r="X115" s="10">
        <f t="shared" si="175"/>
        <v>0</v>
      </c>
      <c r="Y115" s="10">
        <f t="shared" si="175"/>
        <v>0</v>
      </c>
      <c r="Z115" s="10">
        <f t="shared" si="175"/>
        <v>0</v>
      </c>
      <c r="AA115" s="10">
        <f t="shared" si="175"/>
        <v>0</v>
      </c>
      <c r="AB115" s="10">
        <f t="shared" si="175"/>
        <v>0</v>
      </c>
      <c r="AC115" s="10"/>
      <c r="AD115" s="10">
        <f t="shared" si="169"/>
        <v>9350.5068940252695</v>
      </c>
    </row>
    <row r="116" spans="1:30" x14ac:dyDescent="0.25">
      <c r="A116" t="s">
        <v>58</v>
      </c>
      <c r="B116" s="10">
        <f>IF(B$33="JA",($C$2+B102-B115)*Prijzen!D$62,0)</f>
        <v>0</v>
      </c>
      <c r="C116" s="10">
        <f>IF(C$33="JA",($C$2+C102-C115)*Prijzen!E$62,0)</f>
        <v>2277.2489773130701</v>
      </c>
      <c r="D116" s="10">
        <f>IF(D$33="JA",($C$2+D102-D115)*Prijzen!F$62,0)</f>
        <v>2280.1810664718787</v>
      </c>
      <c r="E116" s="10">
        <f>IF(E$33="JA",($C$2+E102-E115)*Prijzen!G$62,0)</f>
        <v>1962.0327297712759</v>
      </c>
      <c r="F116" s="10">
        <f>IF(F$33="JA",($C$2+F102-F115)*Prijzen!H$62,0)</f>
        <v>1643.0508667362244</v>
      </c>
      <c r="G116" s="10">
        <f>IF(G$33="JA",($C$2+G102-G115)*Prijzen!I$62,0)</f>
        <v>1323.2441580599045</v>
      </c>
      <c r="H116" s="10">
        <f>IF(H$33="JA",($C$2+H102-H115)*Prijzen!J$62,0)</f>
        <v>1002.6212037485836</v>
      </c>
      <c r="I116" s="10">
        <f>IF(I$33="JA",($C$2+I102-I115)*Prijzen!K$62,0)</f>
        <v>0</v>
      </c>
      <c r="J116" s="10">
        <f>IF(J$33="JA",($C$2+J102-J115)*Prijzen!L$62,0)</f>
        <v>0</v>
      </c>
      <c r="K116" s="10">
        <f>IF(K$33="JA",($C$2+K102-K115)*Prijzen!M$62,0)</f>
        <v>0</v>
      </c>
      <c r="L116" s="10">
        <f>IF(L$33="JA",($C$2+L102-L115)*Prijzen!N$62,0)</f>
        <v>0</v>
      </c>
      <c r="M116" s="10">
        <f>IF(M$33="JA",($C$2+M102-M115)*Prijzen!O$62,0)</f>
        <v>0</v>
      </c>
      <c r="N116" s="10">
        <f>IF(N$33="JA",($C$2+N102-N115)*Prijzen!P$62,0)</f>
        <v>0</v>
      </c>
      <c r="O116" s="10">
        <f>IF(O$33="JA",($C$2+O102-O115)*Prijzen!Q$62,0)</f>
        <v>0</v>
      </c>
      <c r="P116" s="10">
        <f>IF(P$33="JA",($C$2+P102-P115)*Prijzen!R$62,0)</f>
        <v>0</v>
      </c>
      <c r="Q116" s="10">
        <f>IF(Q$33="JA",($C$2+Q102-Q115)*Prijzen!S$62,0)</f>
        <v>0</v>
      </c>
      <c r="R116" s="10">
        <f>IF(R$33="JA",($C$2+R102-R115)*Prijzen!T$62,0)</f>
        <v>0</v>
      </c>
      <c r="S116" s="10">
        <f>IF(S$33="JA",($C$2+S102-S115)*Prijzen!U$62,0)</f>
        <v>0</v>
      </c>
      <c r="T116" s="10">
        <f>IF(T$33="JA",($C$2+T102-T115)*Prijzen!V$62,0)</f>
        <v>0</v>
      </c>
      <c r="U116" s="10">
        <f>IF(U$33="JA",($C$2+U102-U115)*Prijzen!W$62,0)</f>
        <v>0</v>
      </c>
      <c r="V116" s="10">
        <f>IF(V$33="JA",($C$2+V102-V115)*Prijzen!X$62,0)</f>
        <v>0</v>
      </c>
      <c r="W116" s="10">
        <f>IF(W$33="JA",($C$2+W102-W115)*Prijzen!Y$62,0)</f>
        <v>0</v>
      </c>
      <c r="X116" s="10">
        <f>IF(X$33="JA",($C$2+X102-X115)*Prijzen!Z$62,0)</f>
        <v>0</v>
      </c>
      <c r="Y116" s="10">
        <f>IF(Y$33="JA",($C$2+Y102-Y115)*Prijzen!AA$62,0)</f>
        <v>0</v>
      </c>
      <c r="Z116" s="10">
        <f>IF(Z$33="JA",($C$2+Z102-Z115)*Prijzen!AB$62,0)</f>
        <v>0</v>
      </c>
      <c r="AA116" s="10">
        <f>IF(AA$33="JA",($C$2+AA102-AA115)*Prijzen!AC$62,0)</f>
        <v>0</v>
      </c>
      <c r="AB116" s="10">
        <f>IF(AB$33="JA",($C$2+AB102-AB115)*Prijzen!AD$62,0)</f>
        <v>0</v>
      </c>
      <c r="AC116" s="10"/>
      <c r="AD116" s="10">
        <f t="shared" si="169"/>
        <v>10488.379002100937</v>
      </c>
    </row>
    <row r="117" spans="1:30" x14ac:dyDescent="0.25">
      <c r="A117" t="s">
        <v>55</v>
      </c>
      <c r="B117" s="10">
        <f>IF(B$33="JA",MIN((B114-B115),B116),0)</f>
        <v>0</v>
      </c>
      <c r="C117" s="10">
        <f>IF(C$33="JA",MIN((C114-C115),C116),0)</f>
        <v>981.72628085106385</v>
      </c>
      <c r="D117" s="10">
        <f t="shared" ref="D117:AB117" si="176">IF(D$33="JA",MIN((D114-D115),D116),0)</f>
        <v>974.85419688510615</v>
      </c>
      <c r="E117" s="10">
        <f t="shared" si="176"/>
        <v>968.0302175069105</v>
      </c>
      <c r="F117" s="10">
        <f t="shared" si="176"/>
        <v>961.25400598436215</v>
      </c>
      <c r="G117" s="10">
        <f t="shared" si="176"/>
        <v>954.52522794247159</v>
      </c>
      <c r="H117" s="10">
        <f t="shared" si="176"/>
        <v>947.84355134687416</v>
      </c>
      <c r="I117" s="10">
        <f t="shared" si="176"/>
        <v>0</v>
      </c>
      <c r="J117" s="10">
        <f t="shared" si="176"/>
        <v>0</v>
      </c>
      <c r="K117" s="10">
        <f t="shared" si="176"/>
        <v>0</v>
      </c>
      <c r="L117" s="10">
        <f t="shared" si="176"/>
        <v>0</v>
      </c>
      <c r="M117" s="10">
        <f t="shared" si="176"/>
        <v>0</v>
      </c>
      <c r="N117" s="10">
        <f t="shared" si="176"/>
        <v>0</v>
      </c>
      <c r="O117" s="10">
        <f t="shared" si="176"/>
        <v>0</v>
      </c>
      <c r="P117" s="10">
        <f t="shared" si="176"/>
        <v>0</v>
      </c>
      <c r="Q117" s="10">
        <f t="shared" si="176"/>
        <v>0</v>
      </c>
      <c r="R117" s="10">
        <f t="shared" si="176"/>
        <v>0</v>
      </c>
      <c r="S117" s="10">
        <f t="shared" si="176"/>
        <v>0</v>
      </c>
      <c r="T117" s="10">
        <f t="shared" si="176"/>
        <v>0</v>
      </c>
      <c r="U117" s="10">
        <f t="shared" si="176"/>
        <v>0</v>
      </c>
      <c r="V117" s="10">
        <f t="shared" si="176"/>
        <v>0</v>
      </c>
      <c r="W117" s="10">
        <f t="shared" si="176"/>
        <v>0</v>
      </c>
      <c r="X117" s="10">
        <f t="shared" si="176"/>
        <v>0</v>
      </c>
      <c r="Y117" s="10">
        <f t="shared" si="176"/>
        <v>0</v>
      </c>
      <c r="Z117" s="10">
        <f t="shared" si="176"/>
        <v>0</v>
      </c>
      <c r="AA117" s="10">
        <f t="shared" si="176"/>
        <v>0</v>
      </c>
      <c r="AB117" s="10">
        <f t="shared" si="176"/>
        <v>0</v>
      </c>
      <c r="AC117" s="10"/>
      <c r="AD117" s="10">
        <f t="shared" si="169"/>
        <v>5788.2334805167884</v>
      </c>
    </row>
    <row r="118" spans="1:30" x14ac:dyDescent="0.25">
      <c r="A118" t="s">
        <v>57</v>
      </c>
      <c r="B118" s="10">
        <f>IF(B$33="JA",B114-B115-B117,0)</f>
        <v>0</v>
      </c>
      <c r="C118" s="10">
        <f>IF(C$33="JA",C114-C115-C117,0)</f>
        <v>0</v>
      </c>
      <c r="D118" s="10">
        <f t="shared" ref="D118:AB118" si="177">IF(D$33="JA",D114-D115-D117,0)</f>
        <v>0</v>
      </c>
      <c r="E118" s="10">
        <f t="shared" si="177"/>
        <v>0</v>
      </c>
      <c r="F118" s="10">
        <f t="shared" si="177"/>
        <v>0</v>
      </c>
      <c r="G118" s="10">
        <f t="shared" si="177"/>
        <v>0</v>
      </c>
      <c r="H118" s="10">
        <f t="shared" si="177"/>
        <v>0</v>
      </c>
      <c r="I118" s="10">
        <f t="shared" si="177"/>
        <v>941.208646487446</v>
      </c>
      <c r="J118" s="10">
        <f t="shared" si="177"/>
        <v>934.62018596203393</v>
      </c>
      <c r="K118" s="10">
        <f t="shared" si="177"/>
        <v>928.07784466029966</v>
      </c>
      <c r="L118" s="10">
        <f t="shared" si="177"/>
        <v>921.58129974767758</v>
      </c>
      <c r="M118" s="10">
        <f t="shared" si="177"/>
        <v>915.13023064944366</v>
      </c>
      <c r="N118" s="10">
        <f t="shared" si="177"/>
        <v>908.72431903489758</v>
      </c>
      <c r="O118" s="10">
        <f t="shared" si="177"/>
        <v>902.3632488016533</v>
      </c>
      <c r="P118" s="10">
        <f t="shared" si="177"/>
        <v>896.04670606004186</v>
      </c>
      <c r="Q118" s="10">
        <f t="shared" si="177"/>
        <v>889.77437911762149</v>
      </c>
      <c r="R118" s="10">
        <f t="shared" si="177"/>
        <v>0</v>
      </c>
      <c r="S118" s="10">
        <f t="shared" si="177"/>
        <v>0</v>
      </c>
      <c r="T118" s="10">
        <f t="shared" si="177"/>
        <v>0</v>
      </c>
      <c r="U118" s="10">
        <f t="shared" si="177"/>
        <v>0</v>
      </c>
      <c r="V118" s="10">
        <f t="shared" si="177"/>
        <v>0</v>
      </c>
      <c r="W118" s="10">
        <f t="shared" si="177"/>
        <v>0</v>
      </c>
      <c r="X118" s="10">
        <f t="shared" si="177"/>
        <v>0</v>
      </c>
      <c r="Y118" s="10">
        <f t="shared" si="177"/>
        <v>0</v>
      </c>
      <c r="Z118" s="10">
        <f t="shared" si="177"/>
        <v>0</v>
      </c>
      <c r="AA118" s="10">
        <f t="shared" si="177"/>
        <v>0</v>
      </c>
      <c r="AB118" s="10">
        <f t="shared" si="177"/>
        <v>0</v>
      </c>
      <c r="AC118" s="10"/>
      <c r="AD118" s="10">
        <f t="shared" si="169"/>
        <v>8237.5268605211149</v>
      </c>
    </row>
    <row r="119" spans="1:30" x14ac:dyDescent="0.25">
      <c r="A119" t="s">
        <v>62</v>
      </c>
      <c r="B119" s="16">
        <f>IF(B$33="JA",B120/B114,0)</f>
        <v>0</v>
      </c>
      <c r="C119" s="16">
        <f>IF(C$33="JA",C120/C114,0)</f>
        <v>0.275890183279209</v>
      </c>
      <c r="D119" s="16">
        <f t="shared" ref="D119:AB119" si="178">IF(D$33="JA",D120/D114,0)</f>
        <v>0.24897066227602277</v>
      </c>
      <c r="E119" s="16">
        <f t="shared" si="178"/>
        <v>0.23621624314417644</v>
      </c>
      <c r="F119" s="16">
        <f t="shared" si="178"/>
        <v>0.22470481824054794</v>
      </c>
      <c r="G119" s="16">
        <f t="shared" si="178"/>
        <v>0.22722462021985301</v>
      </c>
      <c r="H119" s="16">
        <f t="shared" si="178"/>
        <v>0.2341123007306635</v>
      </c>
      <c r="I119" s="16">
        <f t="shared" si="178"/>
        <v>0.15943753517601439</v>
      </c>
      <c r="J119" s="16">
        <f t="shared" si="178"/>
        <v>0.16024283882442639</v>
      </c>
      <c r="K119" s="16">
        <f t="shared" si="178"/>
        <v>0.16106424854580667</v>
      </c>
      <c r="L119" s="16">
        <f t="shared" si="178"/>
        <v>0.1619020864616145</v>
      </c>
      <c r="M119" s="16">
        <f t="shared" si="178"/>
        <v>0.16275668113573852</v>
      </c>
      <c r="N119" s="16">
        <f t="shared" si="178"/>
        <v>0.16362836770334505</v>
      </c>
      <c r="O119" s="16">
        <f t="shared" si="178"/>
        <v>0.16451748800230365</v>
      </c>
      <c r="P119" s="16">
        <f t="shared" si="178"/>
        <v>0.16542439070724146</v>
      </c>
      <c r="Q119" s="16">
        <f t="shared" si="178"/>
        <v>0.16634943146627801</v>
      </c>
      <c r="R119" s="16">
        <f t="shared" si="178"/>
        <v>0</v>
      </c>
      <c r="S119" s="16">
        <f t="shared" si="178"/>
        <v>0</v>
      </c>
      <c r="T119" s="16">
        <f t="shared" si="178"/>
        <v>0</v>
      </c>
      <c r="U119" s="16">
        <f t="shared" si="178"/>
        <v>0</v>
      </c>
      <c r="V119" s="16">
        <f t="shared" si="178"/>
        <v>0</v>
      </c>
      <c r="W119" s="16">
        <f t="shared" si="178"/>
        <v>0</v>
      </c>
      <c r="X119" s="16">
        <f t="shared" si="178"/>
        <v>0</v>
      </c>
      <c r="Y119" s="16">
        <f t="shared" si="178"/>
        <v>0</v>
      </c>
      <c r="Z119" s="16">
        <f t="shared" si="178"/>
        <v>0</v>
      </c>
      <c r="AA119" s="16">
        <f t="shared" si="178"/>
        <v>0</v>
      </c>
      <c r="AB119" s="16">
        <f t="shared" si="178"/>
        <v>0</v>
      </c>
      <c r="AC119" s="16"/>
      <c r="AD119" s="16">
        <f t="shared" si="169"/>
        <v>2.9124418959132412</v>
      </c>
    </row>
    <row r="120" spans="1:30" x14ac:dyDescent="0.25">
      <c r="A120" t="s">
        <v>59</v>
      </c>
      <c r="B120" s="17">
        <f>IF(B$33="JA",B115*B105+B117*B105+B118*VLOOKUP($C$8,Prijzen!$B$65:$T$68,B$31,FALSE),0)</f>
        <v>0</v>
      </c>
      <c r="C120" s="17">
        <f>IF(C$33="JA",C115*C105+C117*C105+C118*VLOOKUP($C$8,Prijzen!$B$65:$T$68,C$31,FALSE),0)</f>
        <v>451.41440592336039</v>
      </c>
      <c r="D120" s="17">
        <f>IF(D$33="JA",D115*D105+D117*D105+D118*VLOOKUP($C$8,Prijzen!$B$65:$T$68,D$31,FALSE),0)</f>
        <v>404.51682503507533</v>
      </c>
      <c r="E120" s="17">
        <f>IF(E$33="JA",E115*E105+E117*E105+E118*VLOOKUP($C$8,Prijzen!$B$65:$T$68,E$31,FALSE),0)</f>
        <v>381.10743538253735</v>
      </c>
      <c r="F120" s="17">
        <f>IF(F$33="JA",F115*F105+F117*F105+F118*VLOOKUP($C$8,Prijzen!$B$65:$T$68,F$31,FALSE),0)</f>
        <v>359.99734449619115</v>
      </c>
      <c r="G120" s="17">
        <f>IF(G$33="JA",G115*G105+G117*G105+G118*VLOOKUP($C$8,Prijzen!$B$65:$T$68,G$31,FALSE),0)</f>
        <v>361.4860540158279</v>
      </c>
      <c r="H120" s="17">
        <f>IF(H$33="JA",H115*H105+H117*H105+H118*VLOOKUP($C$8,Prijzen!$B$65:$T$68,H$31,FALSE),0)</f>
        <v>369.83639089756582</v>
      </c>
      <c r="I120" s="17">
        <f>IF(I$33="JA",I115*I105+I117*I105+I118*VLOOKUP($C$8,Prijzen!$B$65:$T$68,I$31,FALSE),0)</f>
        <v>250.10664447051843</v>
      </c>
      <c r="J120" s="17">
        <f>IF(J$33="JA",J115*J105+J117*J105+J118*VLOOKUP($C$8,Prijzen!$B$65:$T$68,J$31,FALSE),0)</f>
        <v>249.61031970194938</v>
      </c>
      <c r="K120" s="17">
        <f>IF(K$33="JA",K115*K105+K117*K105+K118*VLOOKUP($C$8,Prijzen!$B$65:$T$68,K$31,FALSE),0)</f>
        <v>249.13360107037175</v>
      </c>
      <c r="L120" s="17">
        <f>IF(L$33="JA",L115*L105+L117*L105+L118*VLOOKUP($C$8,Prijzen!$B$65:$T$68,L$31,FALSE),0)</f>
        <v>248.67655878859262</v>
      </c>
      <c r="M120" s="17">
        <f>IF(M$33="JA",M115*M105+M117*M105+M118*VLOOKUP($C$8,Prijzen!$B$65:$T$68,M$31,FALSE),0)</f>
        <v>248.2392652458106</v>
      </c>
      <c r="N120" s="17">
        <f>IF(N$33="JA",N115*N105+N117*N105+N118*VLOOKUP($C$8,Prijzen!$B$65:$T$68,N$31,FALSE),0)</f>
        <v>247.8217950266901</v>
      </c>
      <c r="O120" s="17">
        <f>IF(O$33="JA",O115*O105+O117*O105+O118*VLOOKUP($C$8,Prijzen!$B$65:$T$68,O$31,FALSE),0)</f>
        <v>247.42422493074292</v>
      </c>
      <c r="P120" s="17">
        <f>IF(P$33="JA",P115*P105+P117*P105+P118*VLOOKUP($C$8,Prijzen!$B$65:$T$68,P$31,FALSE),0)</f>
        <v>247.04663399202184</v>
      </c>
      <c r="Q120" s="17">
        <f>IF(Q$33="JA",Q115*Q105+Q117*Q105+Q118*VLOOKUP($C$8,Prijzen!$B$65:$T$68,Q$31,FALSE),0)</f>
        <v>246.68910349912807</v>
      </c>
      <c r="R120" s="17">
        <f>IF(R$33="JA",R115*R105+R117*R105+R118*VLOOKUP($C$8,Prijzen!$B$65:$T$68,R$31,FALSE),0)</f>
        <v>0</v>
      </c>
      <c r="S120" s="17">
        <f>IF(S$33="JA",S115*S105+S117*S105+S118*VLOOKUP($C$8,Prijzen!$B$65:$T$68,S$31,FALSE),0)</f>
        <v>0</v>
      </c>
      <c r="T120" s="17">
        <f>IF(T$33="JA",T115*T105+T117*T105+T118*VLOOKUP($C$8,Prijzen!$B$65:$T$68,T$31,FALSE),0)</f>
        <v>0</v>
      </c>
      <c r="U120" s="17">
        <f>IF(U$33="JA",U115*U105+U117*U105+U118*VLOOKUP($C$8,Prijzen!$B$65:$T$68,U$31,FALSE),0)</f>
        <v>0</v>
      </c>
      <c r="V120" s="17">
        <f>IF(V$33="JA",V115*V105+V117*V105+V118*VLOOKUP($C$8,Prijzen!$B$65:$T$68,V$31,FALSE),0)</f>
        <v>0</v>
      </c>
      <c r="W120" s="17">
        <f>IF(W$33="JA",W115*W105+W117*W105+W118*VLOOKUP($C$8,Prijzen!$B$65:$T$68,W$31,FALSE),0)</f>
        <v>0</v>
      </c>
      <c r="X120" s="17">
        <f>IF(X$33="JA",X115*X105+X117*X105+X118*VLOOKUP($C$8,Prijzen!$B$65:$T$68,X$31,FALSE),0)</f>
        <v>0</v>
      </c>
      <c r="Y120" s="17">
        <f>IF(Y$33="JA",Y115*Y105+Y117*Y105+Y118*VLOOKUP($C$8,Prijzen!$B$65:$T$68,Y$31,FALSE),0)</f>
        <v>0</v>
      </c>
      <c r="Z120" s="17">
        <f>IF(Z$33="JA",Z115*Z105+Z117*Z105+Z118*VLOOKUP($C$8,Prijzen!$B$65:$T$68,Z$31,FALSE),0)</f>
        <v>0</v>
      </c>
      <c r="AA120" s="17">
        <f>IF(AA$33="JA",AA115*AA105+AA117*AA105+AA118*VLOOKUP($C$8,Prijzen!$B$65:$T$68,AA$31,FALSE),0)</f>
        <v>0</v>
      </c>
      <c r="AB120" s="17">
        <f>IF(AB$33="JA",AB115*AB105+AB117*AB105+AB118*VLOOKUP($C$8,Prijzen!$B$65:$T$68,AB$31,FALSE),0)</f>
        <v>0</v>
      </c>
      <c r="AC120" s="17"/>
      <c r="AD120" s="17">
        <f t="shared" si="169"/>
        <v>4563.1066024763832</v>
      </c>
    </row>
    <row r="121" spans="1:30" x14ac:dyDescent="0.25">
      <c r="A121" t="s">
        <v>52</v>
      </c>
      <c r="B121" s="8">
        <f>IF(B$33="JA",-PMT($E$17,Kengetallen!$B$16,Investering!$D$65,0,1),0)</f>
        <v>0</v>
      </c>
      <c r="C121" s="8">
        <f>IF(C$33="JA",-PMT($E$17,Kengetallen!$B$16,Investering!$D$65,0,1),0)</f>
        <v>184.41719847946851</v>
      </c>
      <c r="D121" s="8">
        <f>IF(D$33="JA",-PMT($E$17,Kengetallen!$B$16,Investering!$D$65,0,1),0)</f>
        <v>184.41719847946851</v>
      </c>
      <c r="E121" s="8">
        <f>IF(E$33="JA",-PMT($E$17,Kengetallen!$B$16,Investering!$D$65,0,1),0)</f>
        <v>184.41719847946851</v>
      </c>
      <c r="F121" s="8">
        <f>IF(F$33="JA",-PMT($E$17,Kengetallen!$B$16,Investering!$D$65,0,1),0)</f>
        <v>184.41719847946851</v>
      </c>
      <c r="G121" s="8">
        <f>IF(G$33="JA",-PMT($E$17,Kengetallen!$B$16,Investering!$D$65,0,1),0)</f>
        <v>184.41719847946851</v>
      </c>
      <c r="H121" s="8">
        <f>IF(H$33="JA",-PMT($E$17,Kengetallen!$B$16,Investering!$D$65,0,1),0)</f>
        <v>184.41719847946851</v>
      </c>
      <c r="I121" s="8">
        <f>IF(I$33="JA",-PMT($E$17,Kengetallen!$B$16,Investering!$D$65,0,1),0)</f>
        <v>184.41719847946851</v>
      </c>
      <c r="J121" s="8">
        <f>IF(J$33="JA",-PMT($E$17,Kengetallen!$B$16,Investering!$D$65,0,1),0)</f>
        <v>184.41719847946851</v>
      </c>
      <c r="K121" s="8">
        <f>IF(K$33="JA",-PMT($E$17,Kengetallen!$B$16,Investering!$D$65,0,1),0)</f>
        <v>184.41719847946851</v>
      </c>
      <c r="L121" s="8">
        <f>IF(L$33="JA",-PMT($E$17,Kengetallen!$B$16,Investering!$D$65,0,1),0)</f>
        <v>184.41719847946851</v>
      </c>
      <c r="M121" s="8">
        <f>IF(M$33="JA",-PMT($E$17,Kengetallen!$B$16,Investering!$D$65,0,1),0)</f>
        <v>184.41719847946851</v>
      </c>
      <c r="N121" s="8">
        <f>IF(N$33="JA",-PMT($E$17,Kengetallen!$B$16,Investering!$D$65,0,1),0)</f>
        <v>184.41719847946851</v>
      </c>
      <c r="O121" s="8">
        <f>IF(O$33="JA",-PMT($E$17,Kengetallen!$B$16,Investering!$D$65,0,1),0)</f>
        <v>184.41719847946851</v>
      </c>
      <c r="P121" s="8">
        <f>IF(P$33="JA",-PMT($E$17,Kengetallen!$B$16,Investering!$D$65,0,1),0)</f>
        <v>184.41719847946851</v>
      </c>
      <c r="Q121" s="8">
        <f>IF(Q$33="JA",-PMT($E$17,Kengetallen!$B$16,Investering!$D$65,0,1),0)</f>
        <v>184.41719847946851</v>
      </c>
      <c r="R121" s="8">
        <f>IF(R$33="JA",-PMT($E$17,Kengetallen!$B$16,Investering!$D$65,0,1),0)</f>
        <v>0</v>
      </c>
      <c r="S121" s="8">
        <f>IF(S$33="JA",-PMT($E$17,Kengetallen!$B$16,Investering!$D$65,0,1),0)</f>
        <v>0</v>
      </c>
      <c r="T121" s="8">
        <f>IF(T$33="JA",-PMT($E$17,Kengetallen!$B$16,Investering!$D$65,0,1),0)</f>
        <v>0</v>
      </c>
      <c r="U121" s="8">
        <f>IF(U$33="JA",-PMT($E$17,Kengetallen!$B$16,Investering!$D$65,0,1),0)</f>
        <v>0</v>
      </c>
      <c r="V121" s="8">
        <f>IF(V$33="JA",-PMT($E$17,Kengetallen!$B$16,Investering!$D$65,0,1),0)</f>
        <v>0</v>
      </c>
      <c r="W121" s="8">
        <f>IF(W$33="JA",-PMT($E$17,Kengetallen!$B$16,Investering!$D$65,0,1),0)</f>
        <v>0</v>
      </c>
      <c r="X121" s="8">
        <f>IF(X$33="JA",-PMT($E$17,Kengetallen!$B$16,Investering!$D$65,0,1),0)</f>
        <v>0</v>
      </c>
      <c r="Y121" s="8">
        <f>IF(Y$33="JA",-PMT($E$17,Kengetallen!$B$16,Investering!$D$65,0,1),0)</f>
        <v>0</v>
      </c>
      <c r="Z121" s="8">
        <f>IF(Z$33="JA",-PMT($E$17,Kengetallen!$B$16,Investering!$D$65,0,1),0)</f>
        <v>0</v>
      </c>
      <c r="AA121" s="8">
        <f>IF(AA$33="JA",-PMT($E$17,Kengetallen!$B$16,Investering!$D$65,0,1),0)</f>
        <v>0</v>
      </c>
      <c r="AB121" s="8">
        <f>IF(AB$33="JA",-PMT($E$17,Kengetallen!$B$16,Investering!$D$65,0,1),0)</f>
        <v>0</v>
      </c>
      <c r="AC121" s="8"/>
      <c r="AD121" s="8">
        <f t="shared" si="169"/>
        <v>2766.2579771920268</v>
      </c>
    </row>
    <row r="122" spans="1:30" x14ac:dyDescent="0.25">
      <c r="A122" t="s">
        <v>95</v>
      </c>
      <c r="B122" s="8">
        <f>IF(B$33="JA",Kengetallen!$B$20*(1+Kengetallen!$B$2)^'Business case'!B$32,0)</f>
        <v>0</v>
      </c>
      <c r="C122" s="8">
        <f>IF(C$33="JA",Kengetallen!$B$20*(1+Kengetallen!$B$2)^'Business case'!C$32,0)</f>
        <v>25.5</v>
      </c>
      <c r="D122" s="8">
        <f>IF(D$33="JA",Kengetallen!$B$20*(1+Kengetallen!$B$2)^'Business case'!D$32,0)</f>
        <v>26.009999999999998</v>
      </c>
      <c r="E122" s="8">
        <f>IF(E$33="JA",Kengetallen!$B$20*(1+Kengetallen!$B$2)^'Business case'!E$32,0)</f>
        <v>26.530199999999997</v>
      </c>
      <c r="F122" s="8">
        <f>IF(F$33="JA",Kengetallen!$B$20*(1+Kengetallen!$B$2)^'Business case'!F$32,0)</f>
        <v>27.060804000000001</v>
      </c>
      <c r="G122" s="8">
        <f>IF(G$33="JA",Kengetallen!$B$20*(1+Kengetallen!$B$2)^'Business case'!G$32,0)</f>
        <v>27.602020079999999</v>
      </c>
      <c r="H122" s="8">
        <f>IF(H$33="JA",Kengetallen!$B$20*(1+Kengetallen!$B$2)^'Business case'!H$32,0)</f>
        <v>28.154060481600002</v>
      </c>
      <c r="I122" s="8">
        <f>IF(I$33="JA",Kengetallen!$B$20*(1+Kengetallen!$B$2)^'Business case'!I$32,0)</f>
        <v>28.717141691231994</v>
      </c>
      <c r="J122" s="8">
        <f>IF(J$33="JA",Kengetallen!$B$20*(1+Kengetallen!$B$2)^'Business case'!J$32,0)</f>
        <v>29.291484525056639</v>
      </c>
      <c r="K122" s="8">
        <f>IF(K$33="JA",Kengetallen!$B$20*(1+Kengetallen!$B$2)^'Business case'!K$32,0)</f>
        <v>29.877314215557771</v>
      </c>
      <c r="L122" s="8">
        <f>IF(L$33="JA",Kengetallen!$B$20*(1+Kengetallen!$B$2)^'Business case'!L$32,0)</f>
        <v>30.474860499868928</v>
      </c>
      <c r="M122" s="8">
        <f>IF(M$33="JA",Kengetallen!$B$20*(1+Kengetallen!$B$2)^'Business case'!M$32,0)</f>
        <v>31.0843577098663</v>
      </c>
      <c r="N122" s="8">
        <f>IF(N$33="JA",Kengetallen!$B$20*(1+Kengetallen!$B$2)^'Business case'!N$32,0)</f>
        <v>31.706044864063632</v>
      </c>
      <c r="O122" s="8">
        <f>IF(O$33="JA",Kengetallen!$B$20*(1+Kengetallen!$B$2)^'Business case'!O$32,0)</f>
        <v>32.340165761344899</v>
      </c>
      <c r="P122" s="8">
        <f>IF(P$33="JA",Kengetallen!$B$20*(1+Kengetallen!$B$2)^'Business case'!P$32,0)</f>
        <v>32.986969076571803</v>
      </c>
      <c r="Q122" s="8">
        <f>IF(Q$33="JA",Kengetallen!$B$20*(1+Kengetallen!$B$2)^'Business case'!Q$32,0)</f>
        <v>33.646708458103234</v>
      </c>
      <c r="R122" s="8">
        <f>IF(R$33="JA",Kengetallen!$B$20*(1+Kengetallen!$B$2)^'Business case'!R$32,0)</f>
        <v>0</v>
      </c>
      <c r="S122" s="8">
        <f>IF(S$33="JA",Kengetallen!$B$20*(1+Kengetallen!$B$2)^'Business case'!S$32,0)</f>
        <v>0</v>
      </c>
      <c r="T122" s="8">
        <f>IF(T$33="JA",Kengetallen!$B$20*(1+Kengetallen!$B$2)^'Business case'!T$32,0)</f>
        <v>0</v>
      </c>
      <c r="U122" s="8">
        <f>IF(U$33="JA",Kengetallen!$B$20*(1+Kengetallen!$B$2)^'Business case'!U$32,0)</f>
        <v>0</v>
      </c>
      <c r="V122" s="8">
        <f>IF(V$33="JA",Kengetallen!$B$20*(1+Kengetallen!$B$2)^'Business case'!V$32,0)</f>
        <v>0</v>
      </c>
      <c r="W122" s="8">
        <f>IF(W$33="JA",Kengetallen!$B$20*(1+Kengetallen!$B$2)^'Business case'!W$32,0)</f>
        <v>0</v>
      </c>
      <c r="X122" s="8">
        <f>IF(X$33="JA",Kengetallen!$B$20*(1+Kengetallen!$B$2)^'Business case'!X$32,0)</f>
        <v>0</v>
      </c>
      <c r="Y122" s="8">
        <f>IF(Y$33="JA",Kengetallen!$B$20*(1+Kengetallen!$B$2)^'Business case'!Y$32,0)</f>
        <v>0</v>
      </c>
      <c r="Z122" s="8">
        <f>IF(Z$33="JA",Kengetallen!$B$20*(1+Kengetallen!$B$2)^'Business case'!Z$32,0)</f>
        <v>0</v>
      </c>
      <c r="AA122" s="8">
        <f>IF(AA$33="JA",Kengetallen!$B$20*(1+Kengetallen!$B$2)^'Business case'!AA$32,0)</f>
        <v>0</v>
      </c>
      <c r="AB122" s="8">
        <f>IF(AB$33="JA",Kengetallen!$B$20*(1+Kengetallen!$B$2)^'Business case'!AB$32,0)</f>
        <v>0</v>
      </c>
      <c r="AC122" s="8"/>
      <c r="AD122" s="8">
        <f t="shared" si="169"/>
        <v>440.98213136326524</v>
      </c>
    </row>
    <row r="123" spans="1:30" x14ac:dyDescent="0.25">
      <c r="A123" s="3" t="s">
        <v>41</v>
      </c>
      <c r="B123" s="14">
        <f t="shared" ref="B123" si="179">SUM(B107:B113)-B120+B121+B122</f>
        <v>0</v>
      </c>
      <c r="C123" s="14">
        <f t="shared" ref="C123" si="180">SUM(C107:C113)-C120+C121+C122</f>
        <v>1945.3224234024783</v>
      </c>
      <c r="D123" s="14">
        <f t="shared" ref="D123:AB123" si="181">SUM(D107:D113)-D120+D121+D122</f>
        <v>1935.7155647315992</v>
      </c>
      <c r="E123" s="14">
        <f t="shared" si="181"/>
        <v>1934.0246333770876</v>
      </c>
      <c r="F123" s="14">
        <f t="shared" si="181"/>
        <v>1932.8471828281029</v>
      </c>
      <c r="G123" s="14">
        <f t="shared" si="181"/>
        <v>1940.1812996309029</v>
      </c>
      <c r="H123" s="14">
        <f t="shared" si="181"/>
        <v>1950.3834774296001</v>
      </c>
      <c r="I123" s="14">
        <f t="shared" si="181"/>
        <v>2077.8590735617513</v>
      </c>
      <c r="J123" s="14">
        <f t="shared" si="181"/>
        <v>2086.256165029527</v>
      </c>
      <c r="K123" s="14">
        <f t="shared" si="181"/>
        <v>2094.7916656942953</v>
      </c>
      <c r="L123" s="14">
        <f t="shared" si="181"/>
        <v>2103.4686656499289</v>
      </c>
      <c r="M123" s="14">
        <f t="shared" si="181"/>
        <v>2112.2903160200422</v>
      </c>
      <c r="N123" s="14">
        <f t="shared" si="181"/>
        <v>2121.259830203041</v>
      </c>
      <c r="O123" s="14">
        <f t="shared" si="181"/>
        <v>2130.3804851421437</v>
      </c>
      <c r="P123" s="14">
        <f t="shared" si="181"/>
        <v>2139.6556226208832</v>
      </c>
      <c r="Q123" s="14">
        <f t="shared" si="181"/>
        <v>2149.0886505845961</v>
      </c>
      <c r="R123" s="14">
        <f t="shared" si="181"/>
        <v>0</v>
      </c>
      <c r="S123" s="14">
        <f t="shared" si="181"/>
        <v>0</v>
      </c>
      <c r="T123" s="14">
        <f t="shared" si="181"/>
        <v>0</v>
      </c>
      <c r="U123" s="14">
        <f t="shared" si="181"/>
        <v>0</v>
      </c>
      <c r="V123" s="14">
        <f t="shared" si="181"/>
        <v>0</v>
      </c>
      <c r="W123" s="14">
        <f t="shared" si="181"/>
        <v>0</v>
      </c>
      <c r="X123" s="14">
        <f t="shared" si="181"/>
        <v>0</v>
      </c>
      <c r="Y123" s="14">
        <f t="shared" si="181"/>
        <v>0</v>
      </c>
      <c r="Z123" s="14">
        <f t="shared" si="181"/>
        <v>0</v>
      </c>
      <c r="AA123" s="14">
        <f t="shared" si="181"/>
        <v>0</v>
      </c>
      <c r="AB123" s="14">
        <f t="shared" si="181"/>
        <v>0</v>
      </c>
      <c r="AC123" s="14"/>
      <c r="AD123" s="14">
        <f t="shared" si="169"/>
        <v>30653.525055905982</v>
      </c>
    </row>
    <row r="124" spans="1:30" x14ac:dyDescent="0.25">
      <c r="A124" t="s">
        <v>101</v>
      </c>
      <c r="B124" s="8">
        <f t="shared" ref="B124:AB124" si="182">B108+B113-B120+B122</f>
        <v>0</v>
      </c>
      <c r="C124" s="8">
        <f t="shared" si="182"/>
        <v>312.04386133021285</v>
      </c>
      <c r="D124" s="8">
        <f t="shared" si="182"/>
        <v>302.43700265933347</v>
      </c>
      <c r="E124" s="8">
        <f t="shared" si="182"/>
        <v>300.74607130482258</v>
      </c>
      <c r="F124" s="8">
        <f t="shared" si="182"/>
        <v>299.56862075583729</v>
      </c>
      <c r="G124" s="8">
        <f t="shared" si="182"/>
        <v>306.90273755863757</v>
      </c>
      <c r="H124" s="8">
        <f t="shared" si="182"/>
        <v>317.10491535733433</v>
      </c>
      <c r="I124" s="8">
        <f t="shared" si="182"/>
        <v>444.58051148948596</v>
      </c>
      <c r="J124" s="8">
        <f t="shared" si="182"/>
        <v>452.97760295726147</v>
      </c>
      <c r="K124" s="8">
        <f t="shared" si="182"/>
        <v>461.51310362202958</v>
      </c>
      <c r="L124" s="8">
        <f t="shared" si="182"/>
        <v>470.19010357766325</v>
      </c>
      <c r="M124" s="8">
        <f t="shared" si="182"/>
        <v>479.01175394777658</v>
      </c>
      <c r="N124" s="8">
        <f t="shared" si="182"/>
        <v>487.98126813077511</v>
      </c>
      <c r="O124" s="8">
        <f t="shared" si="182"/>
        <v>497.10192306987796</v>
      </c>
      <c r="P124" s="8">
        <f t="shared" si="182"/>
        <v>506.37706054861786</v>
      </c>
      <c r="Q124" s="8">
        <f t="shared" si="182"/>
        <v>515.81008851233071</v>
      </c>
      <c r="R124" s="8">
        <f t="shared" si="182"/>
        <v>0</v>
      </c>
      <c r="S124" s="8">
        <f t="shared" si="182"/>
        <v>0</v>
      </c>
      <c r="T124" s="8">
        <f t="shared" si="182"/>
        <v>0</v>
      </c>
      <c r="U124" s="8">
        <f t="shared" si="182"/>
        <v>0</v>
      </c>
      <c r="V124" s="8">
        <f t="shared" si="182"/>
        <v>0</v>
      </c>
      <c r="W124" s="8">
        <f t="shared" si="182"/>
        <v>0</v>
      </c>
      <c r="X124" s="8">
        <f t="shared" si="182"/>
        <v>0</v>
      </c>
      <c r="Y124" s="8">
        <f t="shared" si="182"/>
        <v>0</v>
      </c>
      <c r="Z124" s="8">
        <f t="shared" si="182"/>
        <v>0</v>
      </c>
      <c r="AA124" s="8">
        <f t="shared" si="182"/>
        <v>0</v>
      </c>
      <c r="AB124" s="8">
        <f t="shared" si="182"/>
        <v>0</v>
      </c>
      <c r="AC124" s="8"/>
      <c r="AD124" s="8"/>
    </row>
    <row r="125" spans="1:30" x14ac:dyDescent="0.25">
      <c r="A125" s="3" t="s">
        <v>9</v>
      </c>
      <c r="B125" s="14">
        <f>IFERROR(B$41-B123,"")</f>
        <v>0</v>
      </c>
      <c r="C125" s="14">
        <f>IFERROR(C$41-C123,"")</f>
        <v>-124.77822441696253</v>
      </c>
      <c r="D125" s="14">
        <f t="shared" ref="D125:AB125" si="183">IFERROR(D$41-D123,"")</f>
        <v>-129.13331966878036</v>
      </c>
      <c r="E125" s="14">
        <f t="shared" si="183"/>
        <v>-134.32751408957552</v>
      </c>
      <c r="F125" s="14">
        <f t="shared" si="183"/>
        <v>-114.49211094999941</v>
      </c>
      <c r="G125" s="14">
        <f t="shared" si="183"/>
        <v>-67.710559093606662</v>
      </c>
      <c r="H125" s="14">
        <f t="shared" si="183"/>
        <v>-36.375422701290518</v>
      </c>
      <c r="I125" s="14">
        <f t="shared" si="183"/>
        <v>-137.02218391309361</v>
      </c>
      <c r="J125" s="14">
        <f t="shared" si="183"/>
        <v>-118.05386376211391</v>
      </c>
      <c r="K125" s="14">
        <f t="shared" si="183"/>
        <v>-98.676644575752562</v>
      </c>
      <c r="L125" s="14">
        <f t="shared" si="183"/>
        <v>-78.882670283232983</v>
      </c>
      <c r="M125" s="14">
        <f t="shared" si="183"/>
        <v>-58.663926920230551</v>
      </c>
      <c r="N125" s="14">
        <f t="shared" si="183"/>
        <v>-38.012239495451468</v>
      </c>
      <c r="O125" s="14">
        <f t="shared" si="183"/>
        <v>-16.919268794620166</v>
      </c>
      <c r="P125" s="14">
        <f t="shared" si="183"/>
        <v>4.6234918793725228</v>
      </c>
      <c r="Q125" s="14">
        <f t="shared" si="183"/>
        <v>26.624720031446941</v>
      </c>
      <c r="R125" s="14">
        <f t="shared" si="183"/>
        <v>0</v>
      </c>
      <c r="S125" s="14">
        <f t="shared" si="183"/>
        <v>0</v>
      </c>
      <c r="T125" s="14">
        <f t="shared" si="183"/>
        <v>0</v>
      </c>
      <c r="U125" s="14">
        <f t="shared" si="183"/>
        <v>0</v>
      </c>
      <c r="V125" s="14">
        <f t="shared" si="183"/>
        <v>0</v>
      </c>
      <c r="W125" s="14">
        <f t="shared" si="183"/>
        <v>0</v>
      </c>
      <c r="X125" s="14">
        <f t="shared" si="183"/>
        <v>0</v>
      </c>
      <c r="Y125" s="14">
        <f t="shared" si="183"/>
        <v>0</v>
      </c>
      <c r="Z125" s="14">
        <f t="shared" si="183"/>
        <v>0</v>
      </c>
      <c r="AA125" s="14">
        <f t="shared" si="183"/>
        <v>0</v>
      </c>
      <c r="AB125" s="14">
        <f t="shared" si="183"/>
        <v>0</v>
      </c>
      <c r="AC125" s="14"/>
      <c r="AD125" s="14">
        <f>SUM(B125:AB125)</f>
        <v>-1121.7997367538908</v>
      </c>
    </row>
  </sheetData>
  <dataConsolidate/>
  <mergeCells count="7">
    <mergeCell ref="C12:C13"/>
    <mergeCell ref="D12:D13"/>
    <mergeCell ref="O2:O3"/>
    <mergeCell ref="E12:E13"/>
    <mergeCell ref="L2:L3"/>
    <mergeCell ref="M2:M3"/>
    <mergeCell ref="N2:N3"/>
  </mergeCells>
  <dataValidations count="1">
    <dataValidation type="list" allowBlank="1" showInputMessage="1" showErrorMessage="1" sqref="E27 D26" xr:uid="{5B001E3D-7CA2-4EF8-9BEE-EAE5BC19972F}">
      <formula1>$AH$12:$AH$13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D185065-FDE1-4184-B7F8-31E54F76AB54}">
          <x14:formula1>
            <xm:f>Prijzen!$B$38:$B$41</xm:f>
          </x14:formula1>
          <xm:sqref>C8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25B106-1CE9-44E5-8021-58983E1A5435}">
  <dimension ref="A1:S69"/>
  <sheetViews>
    <sheetView topLeftCell="A40" workbookViewId="0">
      <selection activeCell="B60" sqref="B60"/>
    </sheetView>
  </sheetViews>
  <sheetFormatPr defaultRowHeight="15" x14ac:dyDescent="0.25"/>
  <cols>
    <col min="1" max="1" width="53" customWidth="1"/>
    <col min="2" max="2" width="12.85546875" customWidth="1"/>
    <col min="3" max="3" width="10.7109375" customWidth="1"/>
    <col min="4" max="5" width="11.140625" customWidth="1"/>
    <col min="6" max="6" width="11.28515625" customWidth="1"/>
    <col min="7" max="7" width="11.140625" customWidth="1"/>
    <col min="8" max="8" width="3.5703125" customWidth="1"/>
    <col min="9" max="10" width="10" customWidth="1"/>
    <col min="12" max="12" width="11.140625" bestFit="1" customWidth="1"/>
    <col min="13" max="13" width="10.28515625" bestFit="1" customWidth="1"/>
  </cols>
  <sheetData>
    <row r="1" spans="1:14" x14ac:dyDescent="0.25">
      <c r="A1" t="s">
        <v>102</v>
      </c>
      <c r="B1" t="s">
        <v>294</v>
      </c>
    </row>
    <row r="2" spans="1:14" x14ac:dyDescent="0.25">
      <c r="A2" t="s">
        <v>103</v>
      </c>
      <c r="B2" t="s">
        <v>165</v>
      </c>
      <c r="I2" t="s">
        <v>143</v>
      </c>
      <c r="M2" s="75">
        <v>1</v>
      </c>
    </row>
    <row r="3" spans="1:14" x14ac:dyDescent="0.25">
      <c r="A3" t="s">
        <v>104</v>
      </c>
      <c r="B3" t="s">
        <v>124</v>
      </c>
    </row>
    <row r="4" spans="1:14" ht="45" x14ac:dyDescent="0.25">
      <c r="A4" s="32" t="s">
        <v>105</v>
      </c>
      <c r="B4" s="32" t="s">
        <v>106</v>
      </c>
      <c r="C4" s="32" t="s">
        <v>107</v>
      </c>
      <c r="D4" s="32" t="s">
        <v>91</v>
      </c>
      <c r="E4" s="32" t="s">
        <v>9</v>
      </c>
      <c r="F4" s="32" t="s">
        <v>108</v>
      </c>
      <c r="G4" s="32" t="s">
        <v>109</v>
      </c>
      <c r="I4" s="32" t="s">
        <v>161</v>
      </c>
      <c r="J4" s="32" t="s">
        <v>160</v>
      </c>
    </row>
    <row r="5" spans="1:14" x14ac:dyDescent="0.25">
      <c r="A5" t="s">
        <v>110</v>
      </c>
      <c r="B5" s="76"/>
      <c r="C5" s="77"/>
      <c r="D5" s="76"/>
      <c r="E5" s="78"/>
      <c r="F5" s="77"/>
      <c r="G5" s="8">
        <f>IF(F5="",0,D5*(15/$F5))</f>
        <v>0</v>
      </c>
      <c r="I5" s="8">
        <f t="shared" ref="I5:I15" si="0">D5*$M$2</f>
        <v>0</v>
      </c>
      <c r="J5" s="8">
        <f t="shared" ref="J5:J15" si="1">G5*$M$2</f>
        <v>0</v>
      </c>
    </row>
    <row r="6" spans="1:14" x14ac:dyDescent="0.25">
      <c r="A6" t="s">
        <v>111</v>
      </c>
      <c r="B6" s="76"/>
      <c r="C6" s="77"/>
      <c r="D6" s="76"/>
      <c r="E6" s="78"/>
      <c r="F6" s="77"/>
      <c r="G6" s="8">
        <f t="shared" ref="G6:G15" si="2">IF(F6="",0,D6*(15/$F6))</f>
        <v>0</v>
      </c>
      <c r="I6" s="8">
        <f t="shared" si="0"/>
        <v>0</v>
      </c>
      <c r="J6" s="8">
        <f t="shared" si="1"/>
        <v>0</v>
      </c>
      <c r="L6" s="83" t="s">
        <v>295</v>
      </c>
      <c r="M6" s="84"/>
      <c r="N6" s="84"/>
    </row>
    <row r="7" spans="1:14" x14ac:dyDescent="0.25">
      <c r="A7" t="s">
        <v>99</v>
      </c>
      <c r="B7" s="76"/>
      <c r="C7" s="77"/>
      <c r="D7" s="76"/>
      <c r="E7" s="78"/>
      <c r="F7" s="77"/>
      <c r="G7" s="8">
        <f t="shared" si="2"/>
        <v>0</v>
      </c>
      <c r="I7" s="8">
        <f t="shared" si="0"/>
        <v>0</v>
      </c>
      <c r="J7" s="8">
        <f t="shared" si="1"/>
        <v>0</v>
      </c>
      <c r="L7" s="84"/>
      <c r="M7" s="84"/>
      <c r="N7" s="84"/>
    </row>
    <row r="8" spans="1:14" x14ac:dyDescent="0.25">
      <c r="A8" t="s">
        <v>112</v>
      </c>
      <c r="B8" s="76">
        <v>2450</v>
      </c>
      <c r="C8" s="76">
        <v>770</v>
      </c>
      <c r="D8" s="76">
        <v>1680</v>
      </c>
      <c r="E8" s="78">
        <v>8.4000000000000005E-2</v>
      </c>
      <c r="F8" s="77">
        <v>20</v>
      </c>
      <c r="G8" s="8">
        <f t="shared" si="2"/>
        <v>1260</v>
      </c>
      <c r="I8" s="8">
        <f t="shared" si="0"/>
        <v>1680</v>
      </c>
      <c r="J8" s="8">
        <f t="shared" si="1"/>
        <v>1260</v>
      </c>
      <c r="L8" s="84"/>
      <c r="M8" s="84"/>
      <c r="N8" s="84"/>
    </row>
    <row r="9" spans="1:14" x14ac:dyDescent="0.25">
      <c r="A9" t="s">
        <v>113</v>
      </c>
      <c r="B9" s="76"/>
      <c r="C9" s="77"/>
      <c r="D9" s="76"/>
      <c r="E9" s="78"/>
      <c r="F9" s="77"/>
      <c r="G9" s="8">
        <f t="shared" si="2"/>
        <v>0</v>
      </c>
      <c r="I9" s="8">
        <f t="shared" si="0"/>
        <v>0</v>
      </c>
      <c r="J9" s="8">
        <f t="shared" si="1"/>
        <v>0</v>
      </c>
      <c r="L9" s="84"/>
      <c r="M9" s="84"/>
      <c r="N9" s="84"/>
    </row>
    <row r="10" spans="1:14" x14ac:dyDescent="0.25">
      <c r="A10" t="s">
        <v>114</v>
      </c>
      <c r="B10" s="76"/>
      <c r="C10" s="77"/>
      <c r="D10" s="76"/>
      <c r="E10" s="78"/>
      <c r="F10" s="77"/>
      <c r="G10" s="8">
        <f t="shared" si="2"/>
        <v>0</v>
      </c>
      <c r="I10" s="8">
        <f t="shared" si="0"/>
        <v>0</v>
      </c>
      <c r="J10" s="8">
        <f t="shared" si="1"/>
        <v>0</v>
      </c>
      <c r="L10" s="84"/>
      <c r="M10" s="84"/>
      <c r="N10" s="84"/>
    </row>
    <row r="11" spans="1:14" x14ac:dyDescent="0.25">
      <c r="A11" t="s">
        <v>115</v>
      </c>
      <c r="B11" s="76">
        <v>2250</v>
      </c>
      <c r="C11" s="77"/>
      <c r="D11" s="76">
        <v>2250</v>
      </c>
      <c r="E11" s="78">
        <v>6.7199999999999996E-2</v>
      </c>
      <c r="F11" s="77">
        <v>20</v>
      </c>
      <c r="G11" s="8">
        <f t="shared" si="2"/>
        <v>1687.5</v>
      </c>
      <c r="I11" s="8">
        <f t="shared" si="0"/>
        <v>2250</v>
      </c>
      <c r="J11" s="8">
        <f t="shared" si="1"/>
        <v>1687.5</v>
      </c>
      <c r="L11" s="84"/>
      <c r="M11" s="84"/>
      <c r="N11" s="84"/>
    </row>
    <row r="12" spans="1:14" x14ac:dyDescent="0.25">
      <c r="A12" t="s">
        <v>116</v>
      </c>
      <c r="B12" s="76"/>
      <c r="C12" s="77"/>
      <c r="D12" s="76"/>
      <c r="E12" s="78"/>
      <c r="F12" s="77"/>
      <c r="G12" s="8">
        <f t="shared" si="2"/>
        <v>0</v>
      </c>
      <c r="I12" s="8">
        <f t="shared" si="0"/>
        <v>0</v>
      </c>
      <c r="J12" s="8">
        <f t="shared" si="1"/>
        <v>0</v>
      </c>
      <c r="L12" s="84"/>
      <c r="M12" s="84"/>
      <c r="N12" s="84"/>
    </row>
    <row r="13" spans="1:14" x14ac:dyDescent="0.25">
      <c r="A13" t="s">
        <v>117</v>
      </c>
      <c r="B13" s="76">
        <v>3500</v>
      </c>
      <c r="C13" s="77"/>
      <c r="D13" s="76">
        <v>3500</v>
      </c>
      <c r="E13" s="78">
        <v>3.3599999999999998E-2</v>
      </c>
      <c r="F13" s="77">
        <v>20</v>
      </c>
      <c r="G13" s="8">
        <f t="shared" si="2"/>
        <v>2625</v>
      </c>
      <c r="I13" s="8">
        <f t="shared" si="0"/>
        <v>3500</v>
      </c>
      <c r="J13" s="8">
        <f t="shared" si="1"/>
        <v>2625</v>
      </c>
      <c r="L13" s="84"/>
      <c r="M13" s="84"/>
      <c r="N13" s="84"/>
    </row>
    <row r="14" spans="1:14" x14ac:dyDescent="0.25">
      <c r="A14" t="s">
        <v>118</v>
      </c>
      <c r="B14" s="76"/>
      <c r="C14" s="77"/>
      <c r="D14" s="76"/>
      <c r="E14" s="78"/>
      <c r="F14" s="77"/>
      <c r="G14" s="8">
        <f t="shared" si="2"/>
        <v>0</v>
      </c>
      <c r="I14" s="8">
        <f t="shared" si="0"/>
        <v>0</v>
      </c>
      <c r="J14" s="8">
        <f t="shared" si="1"/>
        <v>0</v>
      </c>
    </row>
    <row r="15" spans="1:14" x14ac:dyDescent="0.25">
      <c r="A15" t="s">
        <v>119</v>
      </c>
      <c r="B15" s="76">
        <v>389</v>
      </c>
      <c r="C15" s="77"/>
      <c r="D15" s="76">
        <v>389</v>
      </c>
      <c r="E15" s="78"/>
      <c r="F15" s="77">
        <v>20</v>
      </c>
      <c r="G15" s="8">
        <f t="shared" si="2"/>
        <v>291.75</v>
      </c>
      <c r="I15" s="8">
        <f t="shared" si="0"/>
        <v>389</v>
      </c>
      <c r="J15" s="8">
        <f t="shared" si="1"/>
        <v>291.75</v>
      </c>
    </row>
    <row r="16" spans="1:14" x14ac:dyDescent="0.25">
      <c r="A16" s="3" t="s">
        <v>41</v>
      </c>
      <c r="B16" s="14">
        <f>SUM(B5:B15)</f>
        <v>8589</v>
      </c>
      <c r="C16" s="14">
        <f>SUM(C5:C15)</f>
        <v>770</v>
      </c>
      <c r="D16" s="14">
        <f>SUM(D5:D15)</f>
        <v>7819</v>
      </c>
      <c r="E16" s="34">
        <f>SUM(E5:E15)</f>
        <v>0.18479999999999999</v>
      </c>
      <c r="F16" s="3"/>
      <c r="G16" s="14">
        <f>SUM(G5:G15)</f>
        <v>5864.25</v>
      </c>
      <c r="I16" s="14">
        <f>SUM(I5:I15)</f>
        <v>7819</v>
      </c>
      <c r="J16" s="14">
        <f>SUM(J5:J15)</f>
        <v>5864.25</v>
      </c>
    </row>
    <row r="18" spans="1:14" x14ac:dyDescent="0.25">
      <c r="A18" s="4" t="s">
        <v>191</v>
      </c>
    </row>
    <row r="19" spans="1:14" x14ac:dyDescent="0.25">
      <c r="A19" s="29" t="s">
        <v>123</v>
      </c>
      <c r="B19" t="s">
        <v>122</v>
      </c>
      <c r="C19" s="9">
        <f>('Business case'!C1-200)*(1-E16)/2800*33/18*9</f>
        <v>3.8430857142857149</v>
      </c>
      <c r="E19" s="13" t="s">
        <v>132</v>
      </c>
      <c r="F19" s="21">
        <f>C19/'Business case'!C14</f>
        <v>0.81767781155015207</v>
      </c>
    </row>
    <row r="20" spans="1:14" x14ac:dyDescent="0.25">
      <c r="A20" t="s">
        <v>166</v>
      </c>
      <c r="C20" s="10">
        <f>Investering!C19*1000/Kengetallen!$B$24</f>
        <v>85.401904761904774</v>
      </c>
      <c r="D20" t="s">
        <v>176</v>
      </c>
    </row>
    <row r="21" spans="1:14" ht="45" x14ac:dyDescent="0.25">
      <c r="A21" s="32" t="s">
        <v>105</v>
      </c>
      <c r="B21" s="32" t="s">
        <v>106</v>
      </c>
      <c r="C21" s="32" t="s">
        <v>107</v>
      </c>
      <c r="D21" s="32" t="s">
        <v>91</v>
      </c>
      <c r="E21" s="32" t="s">
        <v>9</v>
      </c>
      <c r="F21" s="32" t="s">
        <v>108</v>
      </c>
      <c r="G21" s="32" t="s">
        <v>109</v>
      </c>
      <c r="I21" s="32" t="s">
        <v>161</v>
      </c>
      <c r="J21" s="32" t="s">
        <v>160</v>
      </c>
      <c r="L21" s="48"/>
      <c r="N21" s="31"/>
    </row>
    <row r="22" spans="1:14" x14ac:dyDescent="0.25">
      <c r="A22" s="29" t="s">
        <v>185</v>
      </c>
      <c r="B22" s="8">
        <f>C20*Kengetallen!B37*(1-(VLOOKUP(ROUND('Business case'!C24,0),Kengetallen!$B$26:$C$28,2,TRUE)+VLOOKUP('Business case'!C22,Kengetallen!$B$32:$D$36,3,TRUE)))</f>
        <v>2350.9009333333338</v>
      </c>
      <c r="C22" s="9"/>
      <c r="D22" s="8">
        <f>B22-C22</f>
        <v>2350.9009333333338</v>
      </c>
      <c r="E22" s="21"/>
      <c r="F22">
        <v>30</v>
      </c>
      <c r="G22" s="8">
        <f>D22/F22*15</f>
        <v>1175.4504666666669</v>
      </c>
      <c r="I22" s="8">
        <f>D22*$M$2</f>
        <v>2350.9009333333338</v>
      </c>
      <c r="J22" s="8">
        <f>G22*$M$2</f>
        <v>1175.4504666666669</v>
      </c>
    </row>
    <row r="23" spans="1:14" x14ac:dyDescent="0.25">
      <c r="A23" s="29" t="s">
        <v>181</v>
      </c>
      <c r="B23" s="8">
        <f>'Business case'!C25*Kengetallen!B47</f>
        <v>1297.7249999999999</v>
      </c>
      <c r="C23" s="17"/>
      <c r="D23" s="8">
        <f t="shared" ref="D23:D25" si="3">B23-C23</f>
        <v>1297.7249999999999</v>
      </c>
      <c r="E23" s="21"/>
      <c r="F23">
        <v>30</v>
      </c>
      <c r="G23" s="8">
        <f t="shared" ref="G23:G25" si="4">D23/F23*15</f>
        <v>648.86249999999995</v>
      </c>
      <c r="I23" s="8">
        <f t="shared" ref="I23:I25" si="5">D23*$M$2</f>
        <v>1297.7249999999999</v>
      </c>
      <c r="J23" s="8">
        <f t="shared" ref="J23:J25" si="6">G23*$M$2</f>
        <v>648.86249999999995</v>
      </c>
      <c r="N23" s="31"/>
    </row>
    <row r="24" spans="1:14" x14ac:dyDescent="0.25">
      <c r="A24" s="29" t="s">
        <v>182</v>
      </c>
      <c r="B24" s="8">
        <f>VLOOKUP(C37,Kengetallen!$B$50:$E$53,4,TRUE)*(1-Kengetallen!B48)</f>
        <v>10789.5942</v>
      </c>
      <c r="C24" s="17">
        <f>Kengetallen!B57</f>
        <v>4200</v>
      </c>
      <c r="D24" s="8">
        <f t="shared" si="3"/>
        <v>6589.5941999999995</v>
      </c>
      <c r="E24" s="21"/>
      <c r="F24">
        <v>15</v>
      </c>
      <c r="G24" s="8">
        <f t="shared" si="4"/>
        <v>6589.5941999999995</v>
      </c>
      <c r="I24" s="8">
        <f t="shared" si="5"/>
        <v>6589.5941999999995</v>
      </c>
      <c r="J24" s="8">
        <f t="shared" si="6"/>
        <v>6589.5941999999995</v>
      </c>
      <c r="N24" s="31"/>
    </row>
    <row r="25" spans="1:14" x14ac:dyDescent="0.25">
      <c r="A25" s="29" t="s">
        <v>245</v>
      </c>
      <c r="B25" s="8" cm="1">
        <f t="array" ref="B25">SUM(B22:B24*'Business case'!$C$21)</f>
        <v>1443.8220133333334</v>
      </c>
      <c r="C25" s="17"/>
      <c r="D25" s="8">
        <f t="shared" si="3"/>
        <v>1443.8220133333334</v>
      </c>
      <c r="E25" s="21"/>
      <c r="F25">
        <v>15</v>
      </c>
      <c r="G25" s="8">
        <f t="shared" si="4"/>
        <v>1443.8220133333334</v>
      </c>
      <c r="I25" s="8">
        <f t="shared" si="5"/>
        <v>1443.8220133333334</v>
      </c>
      <c r="J25" s="8">
        <f t="shared" si="6"/>
        <v>1443.8220133333334</v>
      </c>
      <c r="N25" s="31"/>
    </row>
    <row r="26" spans="1:14" x14ac:dyDescent="0.25">
      <c r="A26" s="33" t="s">
        <v>128</v>
      </c>
      <c r="B26" s="14">
        <f>SUM(B22:B25)</f>
        <v>15882.042146666667</v>
      </c>
      <c r="C26" s="14">
        <f>SUM(C22:C25)</f>
        <v>4200</v>
      </c>
      <c r="D26" s="14">
        <f>SUM(D22:D25)</f>
        <v>11682.042146666667</v>
      </c>
      <c r="E26" s="28">
        <v>1</v>
      </c>
      <c r="F26" s="50">
        <f>SUMPRODUCT(F22:F25,G22:G25)/G26</f>
        <v>17.775963307606311</v>
      </c>
      <c r="G26" s="14">
        <f>SUM(G22:G25)</f>
        <v>9857.7291799999985</v>
      </c>
      <c r="I26" s="14">
        <f>SUM(I22:I25)</f>
        <v>11682.042146666667</v>
      </c>
      <c r="J26" s="14">
        <f>SUM(J22:J25)</f>
        <v>9857.7291799999985</v>
      </c>
      <c r="L26" s="8"/>
    </row>
    <row r="28" spans="1:14" x14ac:dyDescent="0.25">
      <c r="A28" s="3" t="s">
        <v>92</v>
      </c>
      <c r="B28" s="14">
        <f>B16+B26</f>
        <v>24471.042146666667</v>
      </c>
      <c r="C28" s="14">
        <f>C16+C26</f>
        <v>4970</v>
      </c>
      <c r="D28" s="14">
        <f>D16+D26</f>
        <v>19501.042146666667</v>
      </c>
      <c r="E28" s="28">
        <f>1-(1-E16)*(1-E26)</f>
        <v>1</v>
      </c>
      <c r="F28" s="46">
        <f>(F16*G16+F26*G26)/G28</f>
        <v>11.145583529515909</v>
      </c>
      <c r="G28" s="27">
        <f>G16+G26</f>
        <v>15721.979179999998</v>
      </c>
      <c r="I28" s="27">
        <f>I16+I26</f>
        <v>19501.042146666667</v>
      </c>
      <c r="J28" s="27">
        <f>J16+J26</f>
        <v>15721.979179999998</v>
      </c>
      <c r="L28" s="42"/>
    </row>
    <row r="30" spans="1:14" x14ac:dyDescent="0.25">
      <c r="A30" t="s">
        <v>65</v>
      </c>
      <c r="B30" s="8">
        <f>'Business case'!C19*'Business case'!C20</f>
        <v>2290.3651063829784</v>
      </c>
      <c r="D30" s="8">
        <f>B30</f>
        <v>2290.3651063829784</v>
      </c>
      <c r="F30">
        <v>15</v>
      </c>
      <c r="G30" s="8">
        <f>D30/F30*15</f>
        <v>2290.3651063829784</v>
      </c>
      <c r="I30" s="8">
        <f>D30*$M$2</f>
        <v>2290.3651063829784</v>
      </c>
      <c r="J30" s="8">
        <f>G30*$M$2</f>
        <v>2290.3651063829784</v>
      </c>
    </row>
    <row r="32" spans="1:14" x14ac:dyDescent="0.25">
      <c r="A32" s="3" t="s">
        <v>129</v>
      </c>
      <c r="B32" s="14">
        <f>B28+B30</f>
        <v>26761.407253049645</v>
      </c>
      <c r="C32" s="14">
        <f>C28+C30</f>
        <v>4970</v>
      </c>
      <c r="D32" s="14">
        <f>D28+D30</f>
        <v>21791.407253049645</v>
      </c>
      <c r="E32" s="34">
        <f>E28+E30</f>
        <v>1</v>
      </c>
      <c r="F32" s="46">
        <f>(F28*G28+F30*G30)/G32</f>
        <v>11.635693026042603</v>
      </c>
      <c r="G32" s="27">
        <f>G28+G30</f>
        <v>18012.344286382977</v>
      </c>
      <c r="I32" s="27">
        <f>I28+I30</f>
        <v>21791.407253049645</v>
      </c>
      <c r="J32" s="27">
        <f>J28+J30</f>
        <v>18012.344286382977</v>
      </c>
    </row>
    <row r="33" spans="1:19" x14ac:dyDescent="0.25">
      <c r="A33" t="s">
        <v>192</v>
      </c>
      <c r="B33" s="8">
        <f>SUMIF($F$5:$F$15,15,B5:B15)+SUMIF($F$22:$F$25,15,B22:B25)+SUMIF($F$30,15,B30)</f>
        <v>14523.781319716312</v>
      </c>
      <c r="C33" s="8">
        <f t="shared" ref="C33:D33" si="7">SUMIF($F$5:$F$15,15,C5:C15)+SUMIF($F$22:$F$25,15,C22:C25)+SUMIF($F$30,15,C30)</f>
        <v>4200</v>
      </c>
      <c r="D33" s="8">
        <f t="shared" si="7"/>
        <v>10323.781319716312</v>
      </c>
      <c r="E33" s="8"/>
      <c r="F33" s="8"/>
      <c r="G33" s="8">
        <f t="shared" ref="G33" si="8">SUMIF($F$5:$F$15,15,G5:G15)+SUMIF($F$22:$F$25,15,G22:G25)+SUMIF($F$30,15,G30)</f>
        <v>10323.781319716312</v>
      </c>
      <c r="H33" s="8"/>
      <c r="I33" s="8">
        <f t="shared" ref="I33:J33" si="9">SUMIF($F$5:$F$15,15,I5:I15)+SUMIF($F$22:$F$25,15,I22:I25)+SUMIF($F$30,15,I30)</f>
        <v>10323.781319716312</v>
      </c>
      <c r="J33" s="8">
        <f t="shared" si="9"/>
        <v>10323.781319716312</v>
      </c>
    </row>
    <row r="34" spans="1:19" x14ac:dyDescent="0.25">
      <c r="A34" t="s">
        <v>252</v>
      </c>
      <c r="B34" s="8">
        <f>SUMIF($F$5:$F$15,"&gt;20",B5:B15)+SUMIF($F$22:$F$25,"&gt;15",B22:B25)+SUMIF($F$30,"&gt;15",B30)</f>
        <v>3648.6259333333337</v>
      </c>
      <c r="C34" s="8">
        <f>SUMIF($F$5:$F$15,"&gt;20",C5:C15)+SUMIF($F$22:$F$25,"&gt;15",C22:C25)+SUMIF($F$30,"&gt;15",C30)</f>
        <v>0</v>
      </c>
      <c r="D34" s="8">
        <f>SUMIF($F$5:$F$15,"&gt;20",D5:D15)+SUMIF($F$22:$F$25,"&gt;15",D22:D25)+SUMIF($F$30,"&gt;15",D30)</f>
        <v>3648.6259333333337</v>
      </c>
      <c r="E34" s="8"/>
      <c r="F34" s="8"/>
      <c r="G34" s="8">
        <f>SUMIF($F$5:$F$15,"&gt;20",G5:G15)+SUMIF($F$22:$F$25,"&gt;15",G22:G25)+SUMIF($F$30,"&gt;15",G30)</f>
        <v>1824.3129666666669</v>
      </c>
      <c r="H34" s="8"/>
      <c r="I34" s="8">
        <f>SUMIF($F$5:$F$15,"&gt;20",I5:I15)+SUMIF($F$22:$F$25,"&gt;15",I22:I25)+SUMIF($F$30,"&gt;15",I30)</f>
        <v>3648.6259333333337</v>
      </c>
      <c r="J34" s="8">
        <f>SUMIF($F$5:$F$15,"&gt;20",J5:J15)+SUMIF($F$22:$F$25,"&gt;15",J22:J25)+SUMIF($F$30,"&gt;15",J30)</f>
        <v>1824.3129666666669</v>
      </c>
    </row>
    <row r="36" spans="1:19" x14ac:dyDescent="0.25">
      <c r="A36" s="4" t="s">
        <v>190</v>
      </c>
    </row>
    <row r="37" spans="1:19" x14ac:dyDescent="0.25">
      <c r="A37" s="29" t="s">
        <v>123</v>
      </c>
      <c r="B37" t="s">
        <v>122</v>
      </c>
      <c r="C37" s="9">
        <f>('Business case'!$C$1-200)*(1-$E$16)/2800*33/18*9</f>
        <v>3.8430857142857149</v>
      </c>
      <c r="D37" s="13" t="s">
        <v>132</v>
      </c>
      <c r="E37" s="21">
        <f>C37/'Business case'!D14</f>
        <v>0.81767781155015207</v>
      </c>
      <c r="M37" s="42"/>
      <c r="P37" s="36"/>
      <c r="S37" s="7"/>
    </row>
    <row r="38" spans="1:19" x14ac:dyDescent="0.25">
      <c r="A38" t="s">
        <v>166</v>
      </c>
      <c r="C38" s="10">
        <f>Investering!C19*1000/Kengetallen!B23*(IF('Business case'!D26="J",1+VLOOKUP('Business case'!C22,Kengetallen!$B$41:$D$44,3,TRUE),1))</f>
        <v>109.80244897959186</v>
      </c>
      <c r="D38" t="s">
        <v>176</v>
      </c>
      <c r="M38" s="42"/>
      <c r="P38" s="36"/>
    </row>
    <row r="39" spans="1:19" ht="45" x14ac:dyDescent="0.25">
      <c r="A39" s="32" t="s">
        <v>105</v>
      </c>
      <c r="B39" s="32" t="s">
        <v>106</v>
      </c>
      <c r="C39" s="32" t="s">
        <v>107</v>
      </c>
      <c r="D39" s="32" t="s">
        <v>91</v>
      </c>
      <c r="E39" s="32" t="s">
        <v>9</v>
      </c>
      <c r="F39" s="32" t="s">
        <v>108</v>
      </c>
      <c r="G39" s="32" t="s">
        <v>109</v>
      </c>
      <c r="I39" s="32" t="s">
        <v>161</v>
      </c>
      <c r="J39" s="32" t="s">
        <v>160</v>
      </c>
      <c r="M39" s="8"/>
    </row>
    <row r="40" spans="1:19" x14ac:dyDescent="0.25">
      <c r="A40" s="29" t="s">
        <v>185</v>
      </c>
      <c r="B40" s="8">
        <f>C38*Kengetallen!B37</f>
        <v>4650.1337142857155</v>
      </c>
      <c r="C40" s="9"/>
      <c r="D40" s="8">
        <f>B40-C40</f>
        <v>4650.1337142857155</v>
      </c>
      <c r="E40" s="21"/>
      <c r="F40">
        <v>30</v>
      </c>
      <c r="G40" s="8">
        <f>D40/F40*15</f>
        <v>2325.0668571428578</v>
      </c>
      <c r="I40" s="8">
        <f>D40*$M$2</f>
        <v>4650.1337142857155</v>
      </c>
      <c r="J40" s="8">
        <f>G40*$M$2</f>
        <v>2325.0668571428578</v>
      </c>
      <c r="M40" s="42"/>
    </row>
    <row r="41" spans="1:19" x14ac:dyDescent="0.25">
      <c r="A41" s="29" t="s">
        <v>181</v>
      </c>
      <c r="B41" s="8">
        <v>0</v>
      </c>
      <c r="C41" s="17"/>
      <c r="D41" s="8">
        <f t="shared" ref="D41:D43" si="10">B41-C41</f>
        <v>0</v>
      </c>
      <c r="E41" s="21"/>
      <c r="F41">
        <v>30</v>
      </c>
      <c r="G41" s="8">
        <f t="shared" ref="G41:G43" si="11">D41/F41*15</f>
        <v>0</v>
      </c>
      <c r="I41" s="8">
        <f t="shared" ref="I41:I43" si="12">D41*$M$2</f>
        <v>0</v>
      </c>
      <c r="J41" s="8">
        <f t="shared" ref="J41:J43" si="13">G41*$M$2</f>
        <v>0</v>
      </c>
      <c r="M41" s="42"/>
    </row>
    <row r="42" spans="1:19" x14ac:dyDescent="0.25">
      <c r="A42" s="29" t="s">
        <v>182</v>
      </c>
      <c r="B42" s="8">
        <f>VLOOKUP(C37,Kengetallen!$B$50:$E$53,4,TRUE)</f>
        <v>11988.438</v>
      </c>
      <c r="C42" s="17">
        <f>Kengetallen!B57</f>
        <v>4200</v>
      </c>
      <c r="D42" s="8">
        <f t="shared" si="10"/>
        <v>7788.4380000000001</v>
      </c>
      <c r="E42" s="21"/>
      <c r="F42">
        <v>15</v>
      </c>
      <c r="G42" s="8">
        <f t="shared" si="11"/>
        <v>7788.4380000000001</v>
      </c>
      <c r="I42" s="8">
        <f t="shared" si="12"/>
        <v>7788.4380000000001</v>
      </c>
      <c r="J42" s="8">
        <f t="shared" si="13"/>
        <v>7788.4380000000001</v>
      </c>
      <c r="M42" s="42"/>
    </row>
    <row r="43" spans="1:19" x14ac:dyDescent="0.25">
      <c r="A43" s="29" t="s">
        <v>245</v>
      </c>
      <c r="B43" s="8" cm="1">
        <f t="array" ref="B43">SUM(B40:B42*'Business case'!$D$21)</f>
        <v>1663.8571714285717</v>
      </c>
      <c r="C43" s="17"/>
      <c r="D43" s="8">
        <f t="shared" si="10"/>
        <v>1663.8571714285717</v>
      </c>
      <c r="E43" s="21"/>
      <c r="F43">
        <v>15</v>
      </c>
      <c r="G43" s="8">
        <f t="shared" si="11"/>
        <v>1663.8571714285717</v>
      </c>
      <c r="I43" s="8">
        <f t="shared" si="12"/>
        <v>1663.8571714285717</v>
      </c>
      <c r="J43" s="8">
        <f t="shared" si="13"/>
        <v>1663.8571714285717</v>
      </c>
      <c r="M43" s="42"/>
    </row>
    <row r="44" spans="1:19" x14ac:dyDescent="0.25">
      <c r="A44" s="33" t="s">
        <v>128</v>
      </c>
      <c r="B44" s="14">
        <f>SUM(B40:B43)</f>
        <v>18302.428885714289</v>
      </c>
      <c r="C44" s="14">
        <f>SUM(C40:C43)</f>
        <v>4200</v>
      </c>
      <c r="D44" s="14">
        <f>SUM(D40:D43)</f>
        <v>14102.428885714287</v>
      </c>
      <c r="E44" s="28">
        <v>1</v>
      </c>
      <c r="F44" s="50">
        <f>SUMPRODUCT(F40:F43,G40:G43)/G44</f>
        <v>17.961274585304846</v>
      </c>
      <c r="G44" s="14">
        <f>SUM(G40:G43)</f>
        <v>11777.36202857143</v>
      </c>
      <c r="I44" s="14">
        <f>SUM(I40:I43)</f>
        <v>14102.428885714287</v>
      </c>
      <c r="J44" s="14">
        <f>SUM(J40:J43)</f>
        <v>11777.36202857143</v>
      </c>
      <c r="L44" s="42"/>
    </row>
    <row r="46" spans="1:19" x14ac:dyDescent="0.25">
      <c r="A46" s="3" t="s">
        <v>92</v>
      </c>
      <c r="B46" s="14">
        <f>B16+B44</f>
        <v>26891.428885714289</v>
      </c>
      <c r="C46" s="14">
        <f>C16+C44</f>
        <v>4970</v>
      </c>
      <c r="D46" s="14">
        <f>D16+D44</f>
        <v>21921.428885714289</v>
      </c>
      <c r="E46" s="28">
        <f>1-(1-E35)*(1-E44)</f>
        <v>1</v>
      </c>
      <c r="F46" s="46">
        <f>(F35*G35+F44*G44)/G46</f>
        <v>11.990765523191477</v>
      </c>
      <c r="G46" s="14">
        <f>G16+G44</f>
        <v>17641.612028571428</v>
      </c>
      <c r="I46" s="14">
        <f>I16+I44</f>
        <v>21921.428885714289</v>
      </c>
      <c r="J46" s="14">
        <f>J16+J44</f>
        <v>17641.612028571428</v>
      </c>
    </row>
    <row r="48" spans="1:19" x14ac:dyDescent="0.25">
      <c r="A48" t="s">
        <v>65</v>
      </c>
      <c r="B48" s="8">
        <f>'Business case'!D19*'Business case'!D20</f>
        <v>2290.3651063829784</v>
      </c>
      <c r="D48" s="8">
        <f>B48</f>
        <v>2290.3651063829784</v>
      </c>
      <c r="F48">
        <v>15</v>
      </c>
      <c r="G48" s="8">
        <f>D48/F48*15</f>
        <v>2290.3651063829784</v>
      </c>
      <c r="I48" s="8">
        <f>D48*$M$2</f>
        <v>2290.3651063829784</v>
      </c>
      <c r="J48" s="8">
        <f>G48*$M$2</f>
        <v>2290.3651063829784</v>
      </c>
    </row>
    <row r="50" spans="1:10" x14ac:dyDescent="0.25">
      <c r="A50" s="3" t="s">
        <v>129</v>
      </c>
      <c r="B50" s="14">
        <f>B46+B48</f>
        <v>29181.793992097268</v>
      </c>
      <c r="C50" s="14">
        <f>C46+C48</f>
        <v>4970</v>
      </c>
      <c r="D50" s="14">
        <f>D46+D48</f>
        <v>24211.793992097268</v>
      </c>
      <c r="E50" s="34">
        <f>E46+E48</f>
        <v>1</v>
      </c>
      <c r="F50" s="46">
        <f>(F46*G46+F48*G48)/G50</f>
        <v>12.33655388106191</v>
      </c>
      <c r="G50" s="27">
        <f>G46+G48</f>
        <v>19931.977134954406</v>
      </c>
      <c r="I50" s="27">
        <f>I46+I48</f>
        <v>24211.793992097268</v>
      </c>
      <c r="J50" s="27">
        <f>J46+J48</f>
        <v>19931.977134954406</v>
      </c>
    </row>
    <row r="51" spans="1:10" x14ac:dyDescent="0.25">
      <c r="A51" t="s">
        <v>192</v>
      </c>
      <c r="B51" s="8">
        <f>SUMIF($F$5:$F$15,15,B5:B15)+SUMIF($F$40:$F$43,15,B40:B43)+SUMIF($F$48,15,B48)</f>
        <v>15942.66027781155</v>
      </c>
      <c r="C51" s="8">
        <f>SUMIF($F$5:$F$15,15,C5:C15)+SUMIF($F$40:$F$43,15,C40:C43)+SUMIF($F$48,15,C48)</f>
        <v>4200</v>
      </c>
      <c r="D51" s="8">
        <f>SUMIF($F$5:$F$15,15,D5:D15)+SUMIF($F$40:$F$43,15,D40:D43)+SUMIF($F$48,15,D48)</f>
        <v>11742.66027781155</v>
      </c>
      <c r="E51" s="8"/>
      <c r="F51" s="8"/>
      <c r="G51" s="8">
        <f>SUMIF($F$5:$F$15,15,G5:G15)+SUMIF($F$40:$F$43,15,G40:G43)+SUMIF($F$48,15,G48)</f>
        <v>11742.66027781155</v>
      </c>
      <c r="H51" s="8"/>
      <c r="I51" s="8">
        <f>SUMIF($F$5:$F$15,15,I5:I15)+SUMIF($F$40:$F$43,15,I40:I43)+SUMIF($F$48,15,I48)</f>
        <v>11742.66027781155</v>
      </c>
      <c r="J51" s="8">
        <f>SUMIF($F$5:$F$15,15,J5:J15)+SUMIF($F$40:$F$43,15,J40:J43)+SUMIF($F$48,15,J48)</f>
        <v>11742.66027781155</v>
      </c>
    </row>
    <row r="52" spans="1:10" x14ac:dyDescent="0.25">
      <c r="A52" t="s">
        <v>193</v>
      </c>
      <c r="B52" s="8">
        <f>SUMIF($F$5:$F$15,"&gt;15",B5:B15)+SUMIF($F$40:$F$42,"&gt;15",B40:B42)+SUMIF($F$48,"&gt;15",B48)</f>
        <v>13239.133714285716</v>
      </c>
      <c r="C52" s="8">
        <f t="shared" ref="C52:D52" si="14">SUMIF($F$5:$F$15,"&gt;15",C5:C15)+SUMIF($F$40:$F$42,"&gt;15",C40:C42)+SUMIF($F$48,"&gt;15",C48)</f>
        <v>770</v>
      </c>
      <c r="D52" s="8">
        <f t="shared" si="14"/>
        <v>12469.133714285716</v>
      </c>
      <c r="E52" s="8"/>
      <c r="F52" s="8"/>
      <c r="G52" s="8">
        <f t="shared" ref="G52:J52" si="15">SUMIF($F$5:$F$15,"&gt;15",G5:G15)+SUMIF($F$40:$F$42,"&gt;15",G40:G42)+SUMIF($F$48,"&gt;15",G48)</f>
        <v>8189.3168571428578</v>
      </c>
      <c r="H52" s="8"/>
      <c r="I52" s="8">
        <f t="shared" si="15"/>
        <v>12469.133714285716</v>
      </c>
      <c r="J52" s="8">
        <f t="shared" si="15"/>
        <v>8189.3168571428578</v>
      </c>
    </row>
    <row r="54" spans="1:10" x14ac:dyDescent="0.25">
      <c r="A54" s="4" t="s">
        <v>207</v>
      </c>
    </row>
    <row r="55" spans="1:10" x14ac:dyDescent="0.25">
      <c r="A55" s="29" t="s">
        <v>123</v>
      </c>
      <c r="B55" t="s">
        <v>122</v>
      </c>
      <c r="C55" s="9">
        <f>('Business case'!$C$1-200)*(1-$E$16)/2800*33/18*9</f>
        <v>3.8430857142857149</v>
      </c>
      <c r="D55" s="13" t="s">
        <v>132</v>
      </c>
      <c r="E55" s="21">
        <f>C55/'Business case'!E14</f>
        <v>1.0980244897959186</v>
      </c>
    </row>
    <row r="56" spans="1:10" x14ac:dyDescent="0.25">
      <c r="C56" s="10"/>
    </row>
    <row r="57" spans="1:10" ht="45" x14ac:dyDescent="0.25">
      <c r="A57" s="32" t="s">
        <v>105</v>
      </c>
      <c r="B57" s="32" t="s">
        <v>106</v>
      </c>
      <c r="C57" s="32" t="s">
        <v>107</v>
      </c>
      <c r="D57" s="32" t="s">
        <v>91</v>
      </c>
      <c r="E57" s="32" t="s">
        <v>9</v>
      </c>
      <c r="F57" s="32" t="s">
        <v>108</v>
      </c>
      <c r="G57" s="32" t="s">
        <v>109</v>
      </c>
      <c r="I57" s="32" t="s">
        <v>161</v>
      </c>
      <c r="J57" s="32" t="s">
        <v>160</v>
      </c>
    </row>
    <row r="58" spans="1:10" x14ac:dyDescent="0.25">
      <c r="A58" s="29" t="s">
        <v>182</v>
      </c>
      <c r="B58" s="8">
        <f>VLOOKUP(C55,Kengetallen!$B$67:$E$70,4,TRUE)</f>
        <v>9261</v>
      </c>
      <c r="C58" s="17">
        <f>Kengetallen!B72</f>
        <v>2850</v>
      </c>
      <c r="D58" s="8">
        <f t="shared" ref="D58" si="16">B58-C58</f>
        <v>6411</v>
      </c>
      <c r="E58" s="21"/>
      <c r="F58">
        <v>15</v>
      </c>
      <c r="G58" s="8">
        <f t="shared" ref="G58" si="17">D58/F58*15</f>
        <v>6411</v>
      </c>
      <c r="I58" s="8">
        <f t="shared" ref="I58" si="18">D58*$M$2</f>
        <v>6411</v>
      </c>
      <c r="J58" s="8">
        <f t="shared" ref="J58" si="19">G58*$M$2</f>
        <v>6411</v>
      </c>
    </row>
    <row r="59" spans="1:10" x14ac:dyDescent="0.25">
      <c r="A59" s="29" t="s">
        <v>208</v>
      </c>
      <c r="B59" s="8">
        <f>IF('Business case'!E27="J",Kengetallen!B78,0)</f>
        <v>2580</v>
      </c>
      <c r="C59" s="17">
        <v>0</v>
      </c>
      <c r="D59" s="8">
        <f t="shared" ref="D59" si="20">B59-C59</f>
        <v>2580</v>
      </c>
      <c r="E59" s="21"/>
      <c r="F59">
        <v>30</v>
      </c>
      <c r="G59" s="8">
        <f t="shared" ref="G59" si="21">D59/F59*15</f>
        <v>1290</v>
      </c>
      <c r="I59" s="8">
        <f t="shared" ref="I59" si="22">D59*$M$2</f>
        <v>2580</v>
      </c>
      <c r="J59" s="8">
        <f t="shared" ref="J59" si="23">G59*$M$2</f>
        <v>1290</v>
      </c>
    </row>
    <row r="60" spans="1:10" x14ac:dyDescent="0.25">
      <c r="A60" s="29" t="s">
        <v>245</v>
      </c>
      <c r="B60" s="8">
        <f>SUM(B58:B59)*'Business case'!$E$21</f>
        <v>1184.1000000000001</v>
      </c>
      <c r="C60" s="17"/>
      <c r="D60" s="8">
        <f>B60</f>
        <v>1184.1000000000001</v>
      </c>
      <c r="E60" s="21"/>
      <c r="F60">
        <v>15</v>
      </c>
      <c r="G60" s="8">
        <f>D60</f>
        <v>1184.1000000000001</v>
      </c>
      <c r="I60" s="8">
        <f t="shared" ref="I60" si="24">D60*$M$2</f>
        <v>1184.1000000000001</v>
      </c>
      <c r="J60" s="8">
        <f t="shared" ref="J60" si="25">G60*$M$2</f>
        <v>1184.1000000000001</v>
      </c>
    </row>
    <row r="61" spans="1:10" x14ac:dyDescent="0.25">
      <c r="A61" s="33" t="s">
        <v>128</v>
      </c>
      <c r="B61" s="14">
        <f>SUM(B58:B60)</f>
        <v>13025.1</v>
      </c>
      <c r="C61" s="14">
        <f>SUM(C58:C60)</f>
        <v>2850</v>
      </c>
      <c r="D61" s="14">
        <f>SUM(D58:D60)</f>
        <v>10175.1</v>
      </c>
      <c r="E61" s="28">
        <v>1</v>
      </c>
      <c r="F61" s="46">
        <f>SUMPRODUCT(F58:F60,G58:G60)/G61</f>
        <v>17.177803288651788</v>
      </c>
      <c r="G61" s="14">
        <f>SUM(G58:G60)</f>
        <v>8885.1</v>
      </c>
      <c r="I61" s="14">
        <f t="shared" ref="I61:J61" si="26">SUM(I58:I60)</f>
        <v>10175.1</v>
      </c>
      <c r="J61" s="14">
        <f t="shared" si="26"/>
        <v>8885.1</v>
      </c>
    </row>
    <row r="63" spans="1:10" x14ac:dyDescent="0.25">
      <c r="A63" s="3" t="s">
        <v>92</v>
      </c>
      <c r="B63" s="14">
        <f>B16+B61</f>
        <v>21614.1</v>
      </c>
      <c r="C63" s="14">
        <f>C16+C61</f>
        <v>3620</v>
      </c>
      <c r="D63" s="14">
        <f>D16+D61</f>
        <v>17994.099999999999</v>
      </c>
      <c r="E63" s="28">
        <f>1-(1-E53)*(1-E61)</f>
        <v>1</v>
      </c>
      <c r="F63" s="46">
        <f>(F53*G53+F61*G61)/G63</f>
        <v>10.348015336269055</v>
      </c>
      <c r="G63" s="14">
        <f>G16+G61</f>
        <v>14749.35</v>
      </c>
      <c r="I63" s="14">
        <f>I16+I61</f>
        <v>17994.099999999999</v>
      </c>
      <c r="J63" s="14">
        <f>J16+J61</f>
        <v>14749.35</v>
      </c>
    </row>
    <row r="65" spans="1:10" x14ac:dyDescent="0.25">
      <c r="A65" t="s">
        <v>65</v>
      </c>
      <c r="B65" s="8">
        <f>'Business case'!E19*'Business case'!E20</f>
        <v>2290.3651063829784</v>
      </c>
      <c r="D65" s="8">
        <f>B65</f>
        <v>2290.3651063829784</v>
      </c>
      <c r="F65">
        <v>15</v>
      </c>
      <c r="G65" s="8">
        <f>D65/F65*15</f>
        <v>2290.3651063829784</v>
      </c>
      <c r="I65" s="8">
        <f>D65*$M$2</f>
        <v>2290.3651063829784</v>
      </c>
      <c r="J65" s="8">
        <f>G65*$M$2</f>
        <v>2290.3651063829784</v>
      </c>
    </row>
    <row r="67" spans="1:10" x14ac:dyDescent="0.25">
      <c r="A67" s="3" t="s">
        <v>129</v>
      </c>
      <c r="B67" s="14">
        <f>B63+B65</f>
        <v>23904.465106382977</v>
      </c>
      <c r="C67" s="14">
        <f>C63+C65</f>
        <v>3620</v>
      </c>
      <c r="D67" s="14">
        <f>D63+D65</f>
        <v>20284.465106382977</v>
      </c>
      <c r="E67" s="34">
        <f>E63+E65</f>
        <v>1</v>
      </c>
      <c r="F67" s="46">
        <f>(F63*G63+F65*G65)/G67</f>
        <v>10.973304156106593</v>
      </c>
      <c r="G67" s="27">
        <f>G63+G65</f>
        <v>17039.715106382981</v>
      </c>
      <c r="I67" s="27">
        <f>I63+I65</f>
        <v>20284.465106382977</v>
      </c>
      <c r="J67" s="27">
        <f>J63+J65</f>
        <v>17039.715106382981</v>
      </c>
    </row>
    <row r="68" spans="1:10" x14ac:dyDescent="0.25">
      <c r="A68" t="s">
        <v>192</v>
      </c>
      <c r="B68" s="8">
        <f>SUMIF($F$5:$F$15,15,B22:B33)+SUMIF($F$58:$F$60,15,B58:B60)+SUMIF($F$65,15,B65)</f>
        <v>12735.465106382979</v>
      </c>
      <c r="C68" s="8">
        <f>SUMIF($F$5:$F$15,15,C22:C33)+SUMIF($F$58:$F$60,15,C58:C60)+SUMIF($F$65,15,C65)</f>
        <v>2850</v>
      </c>
      <c r="D68" s="8">
        <f>SUMIF($F$5:$F$15,15,D22:D33)+SUMIF($F$58:$F$60,15,D58:D60)+SUMIF($F$65,15,D65)</f>
        <v>9885.4651063829788</v>
      </c>
      <c r="E68" s="8"/>
      <c r="F68" s="8"/>
      <c r="G68" s="8">
        <f>SUMIF($F$5:$F$15,15,G22:G33)+SUMIF($F$58:$F$60,15,G58:G60)+SUMIF($F$65,15,G65)</f>
        <v>9885.4651063829788</v>
      </c>
      <c r="H68" s="8"/>
      <c r="I68" s="8">
        <f>SUMIF($F$5:$F$15,15,I22:I33)+SUMIF($F$58:$F$60,15,I58:I60)+SUMIF($F$65,15,I65)</f>
        <v>9885.4651063829788</v>
      </c>
      <c r="J68" s="8">
        <f>SUMIF($F$5:$F$15,15,J22:J33)+SUMIF($F$58:$F$60,15,J58:J60)+SUMIF($F$65,15,J65)</f>
        <v>9885.4651063829788</v>
      </c>
    </row>
    <row r="69" spans="1:10" x14ac:dyDescent="0.25">
      <c r="A69" t="s">
        <v>193</v>
      </c>
      <c r="B69" s="8">
        <f>SUMIF($F$5:$F$15,"&gt;15",B5:B15)+SUMIF($F$58:$F$60,"&gt;15",B58:B60)+SUMIF($F$65,"&gt;15",B65)</f>
        <v>11169</v>
      </c>
      <c r="C69" s="8">
        <f>SUMIF($F$5:$F$15,"&gt;15",C5:C15)+SUMIF($F$58:$F$60,"&gt;15",C58:C60)+SUMIF($F$65,"&gt;15",C65)</f>
        <v>770</v>
      </c>
      <c r="D69" s="8">
        <f>SUMIF($F$5:$F$15,"&gt;15",D5:D15)+SUMIF($F$58:$F$60,"&gt;15",D58:D60)+SUMIF($F$65,"&gt;15",D65)</f>
        <v>10399</v>
      </c>
      <c r="E69" s="8"/>
      <c r="F69" s="8"/>
      <c r="G69" s="8">
        <f>SUMIF($F$5:$F$15,"&gt;15",G5:G15)+SUMIF($F$58:$F$60,"&gt;15",G58:G60)+SUMIF($F$65,"&gt;15",G65)</f>
        <v>7154.25</v>
      </c>
      <c r="H69" s="8"/>
      <c r="I69" s="8">
        <f>SUMIF($F$5:$F$15,"&gt;15",I5:I15)+SUMIF($F$58:$F$60,"&gt;15",I58:I60)+SUMIF($F$65,"&gt;15",I65)</f>
        <v>10399</v>
      </c>
      <c r="J69" s="8">
        <f>SUMIF($F$5:$F$15,"&gt;15",J5:J15)+SUMIF($F$58:$F$60,"&gt;15",J58:J60)+SUMIF($F$65,"&gt;15",J65)</f>
        <v>7154.25</v>
      </c>
    </row>
  </sheetData>
  <mergeCells count="1">
    <mergeCell ref="L6:N1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FD57B-599E-41E7-B4E3-91C3C8244FF9}">
  <dimension ref="A1:J17"/>
  <sheetViews>
    <sheetView workbookViewId="0">
      <selection activeCell="L9" sqref="L9"/>
    </sheetView>
  </sheetViews>
  <sheetFormatPr defaultRowHeight="15" x14ac:dyDescent="0.25"/>
  <cols>
    <col min="1" max="1" width="18.42578125" customWidth="1"/>
    <col min="2" max="4" width="10.5703125" bestFit="1" customWidth="1"/>
  </cols>
  <sheetData>
    <row r="1" spans="1:10" x14ac:dyDescent="0.25">
      <c r="A1" t="s">
        <v>163</v>
      </c>
      <c r="B1" s="78">
        <f>36.93%-3%</f>
        <v>0.33930000000000005</v>
      </c>
      <c r="D1" t="s">
        <v>164</v>
      </c>
    </row>
    <row r="3" spans="1:10" x14ac:dyDescent="0.25">
      <c r="A3" s="4" t="s">
        <v>217</v>
      </c>
    </row>
    <row r="4" spans="1:10" x14ac:dyDescent="0.25">
      <c r="B4" t="s">
        <v>214</v>
      </c>
      <c r="C4" t="s">
        <v>215</v>
      </c>
      <c r="D4" t="s">
        <v>216</v>
      </c>
      <c r="E4" t="s">
        <v>221</v>
      </c>
    </row>
    <row r="5" spans="1:10" x14ac:dyDescent="0.25">
      <c r="A5" t="s">
        <v>219</v>
      </c>
      <c r="B5" s="79">
        <v>3.9E-2</v>
      </c>
      <c r="C5" s="79">
        <v>3.95E-2</v>
      </c>
      <c r="D5" s="79">
        <v>4.2999999999999997E-2</v>
      </c>
      <c r="E5" s="79">
        <v>4.3499999999999997E-2</v>
      </c>
    </row>
    <row r="6" spans="1:10" x14ac:dyDescent="0.25">
      <c r="A6" t="s">
        <v>220</v>
      </c>
      <c r="B6" s="26">
        <f>B5*(1-$B$1)</f>
        <v>2.5767299999999996E-2</v>
      </c>
      <c r="C6" s="26">
        <f>C5*(1-$B$1)</f>
        <v>2.609765E-2</v>
      </c>
      <c r="D6" s="26">
        <f>D5*(1-$B$1)</f>
        <v>2.8410099999999997E-2</v>
      </c>
      <c r="E6" s="26">
        <f>E5*(1-$B$1)</f>
        <v>2.8740449999999997E-2</v>
      </c>
    </row>
    <row r="7" spans="1:10" x14ac:dyDescent="0.25">
      <c r="A7" t="s">
        <v>144</v>
      </c>
    </row>
    <row r="9" spans="1:10" x14ac:dyDescent="0.25">
      <c r="A9" s="4" t="s">
        <v>225</v>
      </c>
      <c r="G9" s="4" t="s">
        <v>222</v>
      </c>
    </row>
    <row r="10" spans="1:10" x14ac:dyDescent="0.25">
      <c r="B10" s="81" t="s">
        <v>188</v>
      </c>
      <c r="C10" s="81" t="s">
        <v>189</v>
      </c>
      <c r="D10" s="81" t="s">
        <v>195</v>
      </c>
      <c r="H10" s="81" t="s">
        <v>188</v>
      </c>
      <c r="I10" s="81" t="s">
        <v>189</v>
      </c>
      <c r="J10" s="81" t="s">
        <v>195</v>
      </c>
    </row>
    <row r="11" spans="1:10" x14ac:dyDescent="0.25">
      <c r="B11" s="81"/>
      <c r="C11" s="81"/>
      <c r="D11" s="81"/>
      <c r="H11" s="81"/>
      <c r="I11" s="81"/>
      <c r="J11" s="81"/>
    </row>
    <row r="12" spans="1:10" x14ac:dyDescent="0.25">
      <c r="A12" t="s">
        <v>106</v>
      </c>
      <c r="B12" s="8">
        <f>'Business case'!C15</f>
        <v>19501.042146666667</v>
      </c>
      <c r="C12" s="8">
        <f>'Business case'!D15</f>
        <v>21921.428885714289</v>
      </c>
      <c r="D12" s="8">
        <f>'Business case'!E15</f>
        <v>17994.099999999999</v>
      </c>
      <c r="G12" t="s">
        <v>214</v>
      </c>
      <c r="H12" s="8">
        <f>B14*7</f>
        <v>-21020.465895512309</v>
      </c>
      <c r="I12" s="8">
        <f t="shared" ref="I12:J12" si="0">C14*7</f>
        <v>-23629.437073537141</v>
      </c>
      <c r="J12" s="8">
        <f t="shared" si="0"/>
        <v>-19396.110347625276</v>
      </c>
    </row>
    <row r="13" spans="1:10" x14ac:dyDescent="0.25">
      <c r="A13" t="s">
        <v>218</v>
      </c>
      <c r="B13" s="8">
        <f>'Business case'!$L$17-'Business case'!M17</f>
        <v>1566.1832217470783</v>
      </c>
      <c r="C13" s="8">
        <f>'Business case'!$L$17-'Business case'!N17</f>
        <v>1566.1832217470778</v>
      </c>
      <c r="D13" s="8">
        <f>'Business case'!$L$17-'Business case'!O17</f>
        <v>1429.662008611778</v>
      </c>
      <c r="G13" t="s">
        <v>215</v>
      </c>
      <c r="H13" s="8">
        <f>B15*10</f>
        <v>-21838.286420505829</v>
      </c>
      <c r="I13" s="8">
        <f t="shared" ref="I13:J13" si="1">C15*10</f>
        <v>-24548.762017562625</v>
      </c>
      <c r="J13" s="8">
        <f t="shared" si="1"/>
        <v>-20150.733828673514</v>
      </c>
    </row>
    <row r="14" spans="1:10" x14ac:dyDescent="0.25">
      <c r="A14" t="s">
        <v>214</v>
      </c>
      <c r="B14" s="8">
        <f>PMT($B$6,7,B12,0,1)</f>
        <v>-3002.9236993589011</v>
      </c>
      <c r="C14" s="8">
        <f t="shared" ref="C14:D14" si="2">PMT($B$6,7,C12,0,1)</f>
        <v>-3375.6338676481628</v>
      </c>
      <c r="D14" s="8">
        <f t="shared" si="2"/>
        <v>-2770.8729068036109</v>
      </c>
      <c r="G14" t="s">
        <v>216</v>
      </c>
      <c r="H14" s="8">
        <f>B16*15</f>
        <v>-23552.975572076466</v>
      </c>
      <c r="I14" s="8">
        <f t="shared" ref="I14:J14" si="3">C16*15</f>
        <v>-26476.271122694554</v>
      </c>
      <c r="J14" s="8">
        <f t="shared" si="3"/>
        <v>-21732.920453891955</v>
      </c>
    </row>
    <row r="15" spans="1:10" x14ac:dyDescent="0.25">
      <c r="A15" t="s">
        <v>215</v>
      </c>
      <c r="B15" s="8">
        <f>PMT($C$6,10,B12,0,1)</f>
        <v>-2183.8286420505829</v>
      </c>
      <c r="C15" s="8">
        <f>PMT($C$6,10,C12,0,1)</f>
        <v>-2454.8762017562626</v>
      </c>
      <c r="D15" s="8">
        <f>PMT($C$6,10,D12,0,1)</f>
        <v>-2015.0733828673515</v>
      </c>
      <c r="G15" t="s">
        <v>221</v>
      </c>
      <c r="H15" s="8">
        <f>B17*20</f>
        <v>-25187.300325902524</v>
      </c>
      <c r="I15" s="8">
        <f t="shared" ref="I15:J15" si="4">C17*20</f>
        <v>-28313.44134148127</v>
      </c>
      <c r="J15" s="8">
        <f t="shared" si="4"/>
        <v>-23240.95283655353</v>
      </c>
    </row>
    <row r="16" spans="1:10" x14ac:dyDescent="0.25">
      <c r="A16" t="s">
        <v>216</v>
      </c>
      <c r="B16" s="8">
        <f>PMT($D$6,15,B12,0,1)</f>
        <v>-1570.1983714717644</v>
      </c>
      <c r="C16" s="8">
        <f t="shared" ref="C16:D16" si="5">PMT($D$6,15,C12,0,1)</f>
        <v>-1765.0847415129701</v>
      </c>
      <c r="D16" s="8">
        <f t="shared" si="5"/>
        <v>-1448.861363592797</v>
      </c>
    </row>
    <row r="17" spans="1:4" x14ac:dyDescent="0.25">
      <c r="A17" t="s">
        <v>221</v>
      </c>
      <c r="B17" s="8">
        <f>PMT($E$6,20,B12,0,1)</f>
        <v>-1259.3650162951262</v>
      </c>
      <c r="C17" s="8">
        <f t="shared" ref="C17:D17" si="6">PMT($E$6,20,C12,0,1)</f>
        <v>-1415.6720670740635</v>
      </c>
      <c r="D17" s="8">
        <f t="shared" si="6"/>
        <v>-1162.0476418276764</v>
      </c>
    </row>
  </sheetData>
  <mergeCells count="6">
    <mergeCell ref="J10:J11"/>
    <mergeCell ref="B10:B11"/>
    <mergeCell ref="C10:C11"/>
    <mergeCell ref="D10:D11"/>
    <mergeCell ref="H10:H11"/>
    <mergeCell ref="I10:I1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39B0B-1B19-4C29-9E5D-127756DF5210}">
  <dimension ref="A1:AB93"/>
  <sheetViews>
    <sheetView topLeftCell="A63" workbookViewId="0">
      <selection activeCell="D3" sqref="D3"/>
    </sheetView>
  </sheetViews>
  <sheetFormatPr defaultRowHeight="15" x14ac:dyDescent="0.25"/>
  <cols>
    <col min="1" max="1" width="19.7109375" customWidth="1"/>
    <col min="2" max="2" width="9.5703125" bestFit="1" customWidth="1"/>
    <col min="3" max="3" width="0" hidden="1" customWidth="1"/>
  </cols>
  <sheetData>
    <row r="1" spans="1:28" x14ac:dyDescent="0.25">
      <c r="A1" s="4" t="s">
        <v>7</v>
      </c>
      <c r="P1" s="25"/>
    </row>
    <row r="2" spans="1:28" x14ac:dyDescent="0.25">
      <c r="C2" s="58">
        <v>2023</v>
      </c>
      <c r="D2" s="3">
        <v>2024</v>
      </c>
      <c r="E2" s="3">
        <v>2025</v>
      </c>
      <c r="F2" s="3">
        <v>2026</v>
      </c>
      <c r="G2" s="3">
        <v>2027</v>
      </c>
      <c r="H2" s="3">
        <v>2028</v>
      </c>
      <c r="I2" s="3">
        <v>2029</v>
      </c>
      <c r="J2" s="3">
        <v>2030</v>
      </c>
      <c r="K2" s="3">
        <v>2031</v>
      </c>
      <c r="L2" s="3">
        <v>2032</v>
      </c>
      <c r="M2" s="3">
        <v>2033</v>
      </c>
      <c r="N2" s="3">
        <v>2034</v>
      </c>
      <c r="O2" s="3">
        <v>2035</v>
      </c>
      <c r="P2" s="3">
        <v>2036</v>
      </c>
      <c r="Q2" s="3">
        <v>2037</v>
      </c>
      <c r="R2" s="3">
        <v>2038</v>
      </c>
      <c r="S2" s="3">
        <v>2039</v>
      </c>
      <c r="T2" s="3">
        <v>2040</v>
      </c>
      <c r="V2" s="3" t="s">
        <v>4</v>
      </c>
    </row>
    <row r="3" spans="1:28" x14ac:dyDescent="0.25">
      <c r="A3" t="s">
        <v>5</v>
      </c>
      <c r="B3" t="s">
        <v>2</v>
      </c>
      <c r="C3" s="63">
        <v>0.54585416666666664</v>
      </c>
      <c r="D3" s="2">
        <v>0.42607499999999998</v>
      </c>
      <c r="E3" s="2">
        <v>0.40014000000000005</v>
      </c>
      <c r="F3" s="2">
        <v>0.36556</v>
      </c>
      <c r="G3" s="2">
        <v>0.33839000000000008</v>
      </c>
      <c r="H3" s="2">
        <v>0.32974500000000001</v>
      </c>
      <c r="I3" s="2">
        <v>0.33903837499999995</v>
      </c>
      <c r="J3" s="2">
        <v>0.34799212499999999</v>
      </c>
      <c r="K3" s="2">
        <v>0.34799212499999999</v>
      </c>
      <c r="L3" s="2">
        <v>0.34799212499999999</v>
      </c>
      <c r="M3" s="2">
        <v>0.34799212499999999</v>
      </c>
      <c r="N3" s="2">
        <v>0.34799212499999999</v>
      </c>
      <c r="O3" s="2">
        <v>0.34799212499999999</v>
      </c>
      <c r="P3" s="2">
        <v>0.34799212499999999</v>
      </c>
      <c r="Q3" s="2">
        <v>0.34799212499999999</v>
      </c>
      <c r="R3" s="2">
        <v>0.34799212499999999</v>
      </c>
      <c r="S3" s="2">
        <v>0.34799212499999999</v>
      </c>
      <c r="T3" s="2">
        <v>0.34799212499999999</v>
      </c>
      <c r="U3" s="2"/>
      <c r="V3" t="s">
        <v>227</v>
      </c>
      <c r="W3" s="2"/>
      <c r="X3" s="2"/>
      <c r="Y3" s="2"/>
      <c r="Z3" s="2"/>
      <c r="AA3" s="2"/>
      <c r="AB3" s="2"/>
    </row>
    <row r="4" spans="1:28" x14ac:dyDescent="0.25">
      <c r="A4" s="13" t="s">
        <v>156</v>
      </c>
      <c r="B4" t="s">
        <v>1</v>
      </c>
      <c r="C4" s="63">
        <v>0.43668333333333331</v>
      </c>
      <c r="D4" s="2">
        <v>0.32774999999999999</v>
      </c>
      <c r="E4" s="2">
        <v>0.30780000000000002</v>
      </c>
      <c r="F4" s="2">
        <v>0.28120000000000001</v>
      </c>
      <c r="G4" s="2">
        <v>0.26030000000000003</v>
      </c>
      <c r="H4" s="2">
        <v>0.25364999999999999</v>
      </c>
      <c r="I4" s="2">
        <v>0.26079874999999997</v>
      </c>
      <c r="J4" s="2">
        <v>0.26768624999999996</v>
      </c>
      <c r="K4" s="2">
        <v>0.26768624999999996</v>
      </c>
      <c r="L4" s="2">
        <v>0.26768624999999996</v>
      </c>
      <c r="M4" s="2">
        <v>0.26768624999999996</v>
      </c>
      <c r="N4" s="2">
        <v>0.26768624999999996</v>
      </c>
      <c r="O4" s="2">
        <v>0.26768624999999996</v>
      </c>
      <c r="P4" s="2">
        <v>0.26768624999999996</v>
      </c>
      <c r="Q4" s="2">
        <v>0.26768624999999996</v>
      </c>
      <c r="R4" s="2">
        <v>0.26768624999999996</v>
      </c>
      <c r="S4" s="2">
        <v>0.26768624999999996</v>
      </c>
      <c r="T4" s="2">
        <v>0.26768624999999996</v>
      </c>
      <c r="U4" s="2"/>
      <c r="V4" t="s">
        <v>228</v>
      </c>
      <c r="W4" s="2"/>
      <c r="X4" s="2"/>
      <c r="Y4" s="2"/>
      <c r="Z4" s="2"/>
      <c r="AA4" s="2"/>
      <c r="AB4" s="2"/>
    </row>
    <row r="5" spans="1:28" x14ac:dyDescent="0.25">
      <c r="B5" t="s">
        <v>0</v>
      </c>
      <c r="C5" s="63">
        <v>0.32751249999999998</v>
      </c>
      <c r="D5" s="2">
        <v>0.22942499999999996</v>
      </c>
      <c r="E5" s="2">
        <v>0.21546000000000001</v>
      </c>
      <c r="F5" s="2">
        <v>0.19683999999999999</v>
      </c>
      <c r="G5" s="2">
        <v>0.18221000000000001</v>
      </c>
      <c r="H5" s="2">
        <v>0.17755499999999999</v>
      </c>
      <c r="I5" s="2">
        <v>0.18255912499999996</v>
      </c>
      <c r="J5" s="2">
        <v>0.18738037499999996</v>
      </c>
      <c r="K5" s="2">
        <v>0.18738037499999996</v>
      </c>
      <c r="L5" s="2">
        <v>0.18738037499999996</v>
      </c>
      <c r="M5" s="2">
        <v>0.18738037499999996</v>
      </c>
      <c r="N5" s="2">
        <v>0.18738037499999996</v>
      </c>
      <c r="O5" s="2">
        <v>0.18738037499999996</v>
      </c>
      <c r="P5" s="2">
        <v>0.18738037499999996</v>
      </c>
      <c r="Q5" s="2">
        <v>0.18738037499999996</v>
      </c>
      <c r="R5" s="2">
        <v>0.18738037499999996</v>
      </c>
      <c r="S5" s="2">
        <v>0.18738037499999996</v>
      </c>
      <c r="T5" s="2">
        <v>0.18738037499999996</v>
      </c>
      <c r="U5" s="2"/>
      <c r="V5" t="s">
        <v>229</v>
      </c>
      <c r="W5" s="2"/>
      <c r="X5" s="2"/>
      <c r="Y5" s="2"/>
      <c r="Z5" s="2"/>
      <c r="AA5" s="2"/>
      <c r="AB5" s="2"/>
    </row>
    <row r="6" spans="1:28" x14ac:dyDescent="0.25">
      <c r="C6" s="56"/>
    </row>
    <row r="7" spans="1:28" x14ac:dyDescent="0.25">
      <c r="C7" s="58">
        <v>2023</v>
      </c>
      <c r="D7" s="3">
        <v>2024</v>
      </c>
      <c r="E7" s="3">
        <v>2025</v>
      </c>
      <c r="F7" s="3">
        <v>2026</v>
      </c>
      <c r="G7" s="3">
        <v>2027</v>
      </c>
      <c r="H7" s="3">
        <v>2028</v>
      </c>
      <c r="I7" s="3">
        <v>2029</v>
      </c>
      <c r="J7" s="3">
        <v>2030</v>
      </c>
      <c r="K7" s="3">
        <v>2031</v>
      </c>
      <c r="L7" s="3">
        <v>2032</v>
      </c>
      <c r="M7" s="3">
        <v>2033</v>
      </c>
      <c r="N7" s="3">
        <v>2034</v>
      </c>
      <c r="O7" s="3">
        <v>2035</v>
      </c>
      <c r="P7" s="3">
        <v>2036</v>
      </c>
      <c r="Q7" s="3">
        <v>2037</v>
      </c>
      <c r="R7" s="3">
        <v>2038</v>
      </c>
      <c r="S7" s="3">
        <v>2039</v>
      </c>
      <c r="T7" s="3">
        <v>2040</v>
      </c>
      <c r="V7" s="3" t="s">
        <v>4</v>
      </c>
    </row>
    <row r="8" spans="1:28" x14ac:dyDescent="0.25">
      <c r="A8" t="s">
        <v>3</v>
      </c>
      <c r="B8" t="s">
        <v>2</v>
      </c>
      <c r="C8" s="61">
        <v>154.58333333333334</v>
      </c>
      <c r="D8" s="6">
        <v>124.6</v>
      </c>
      <c r="E8" s="6">
        <v>100.36000000000001</v>
      </c>
      <c r="F8" s="6">
        <v>91.78</v>
      </c>
      <c r="G8" s="6">
        <v>86.970000000000013</v>
      </c>
      <c r="H8" s="6">
        <v>81.82416666666667</v>
      </c>
      <c r="I8" s="6">
        <v>86.697700993510537</v>
      </c>
      <c r="J8" s="6">
        <v>88.987322456775985</v>
      </c>
      <c r="K8" s="2">
        <v>88.987322456775985</v>
      </c>
      <c r="L8" s="2">
        <v>88.987322456775985</v>
      </c>
      <c r="M8" s="2">
        <v>88.987322456775985</v>
      </c>
      <c r="N8" s="2">
        <v>88.987322456775985</v>
      </c>
      <c r="O8" s="2">
        <v>88.987322456775985</v>
      </c>
      <c r="P8" s="2">
        <v>88.987322456775985</v>
      </c>
      <c r="Q8" s="2">
        <v>88.987322456775985</v>
      </c>
      <c r="R8" s="2">
        <v>88.987322456775985</v>
      </c>
      <c r="S8" s="2">
        <v>88.987322456775985</v>
      </c>
      <c r="T8" s="2">
        <v>88.987322456775985</v>
      </c>
      <c r="U8" s="6"/>
      <c r="V8" t="s">
        <v>230</v>
      </c>
      <c r="W8" s="6"/>
      <c r="X8" s="6"/>
      <c r="Y8" s="6"/>
      <c r="Z8" s="6"/>
      <c r="AA8" s="6"/>
      <c r="AB8" s="6"/>
    </row>
    <row r="9" spans="1:28" x14ac:dyDescent="0.25">
      <c r="A9" s="13" t="s">
        <v>157</v>
      </c>
      <c r="B9" t="s">
        <v>1</v>
      </c>
      <c r="C9" s="61">
        <v>123.66666666666667</v>
      </c>
      <c r="D9" s="6">
        <v>89</v>
      </c>
      <c r="E9" s="6">
        <v>77.2</v>
      </c>
      <c r="F9" s="6">
        <v>70.599999999999994</v>
      </c>
      <c r="G9" s="6">
        <v>66.900000000000006</v>
      </c>
      <c r="H9" s="6">
        <v>62.94166666666667</v>
      </c>
      <c r="I9" s="6">
        <v>66.690539225777329</v>
      </c>
      <c r="J9" s="6">
        <v>68.451786505212297</v>
      </c>
      <c r="K9" s="2">
        <v>68.451786505212297</v>
      </c>
      <c r="L9" s="2">
        <v>68.451786505212297</v>
      </c>
      <c r="M9" s="2">
        <v>68.451786505212297</v>
      </c>
      <c r="N9" s="2">
        <v>68.451786505212297</v>
      </c>
      <c r="O9" s="2">
        <v>68.451786505212297</v>
      </c>
      <c r="P9" s="2">
        <v>68.451786505212297</v>
      </c>
      <c r="Q9" s="2">
        <v>68.451786505212297</v>
      </c>
      <c r="R9" s="2">
        <v>68.451786505212297</v>
      </c>
      <c r="S9" s="2">
        <v>68.451786505212297</v>
      </c>
      <c r="T9" s="2">
        <v>68.451786505212297</v>
      </c>
      <c r="U9" s="6"/>
      <c r="V9" t="s">
        <v>231</v>
      </c>
      <c r="W9" s="6"/>
      <c r="X9" s="6"/>
      <c r="Y9" s="6"/>
      <c r="Z9" s="6"/>
      <c r="AA9" s="6"/>
      <c r="AB9" s="6"/>
    </row>
    <row r="10" spans="1:28" x14ac:dyDescent="0.25">
      <c r="B10" t="s">
        <v>0</v>
      </c>
      <c r="C10" s="61">
        <v>92.75</v>
      </c>
      <c r="D10" s="6">
        <v>62.3</v>
      </c>
      <c r="E10" s="6">
        <v>54.04</v>
      </c>
      <c r="F10" s="6">
        <v>49.419999999999995</v>
      </c>
      <c r="G10" s="6">
        <v>46.83</v>
      </c>
      <c r="H10" s="6">
        <v>44.05916666666667</v>
      </c>
      <c r="I10" s="6">
        <v>46.683377458044127</v>
      </c>
      <c r="J10" s="6">
        <v>47.916250553648602</v>
      </c>
      <c r="K10" s="2">
        <v>47.916250553648602</v>
      </c>
      <c r="L10" s="2">
        <v>47.916250553648602</v>
      </c>
      <c r="M10" s="2">
        <v>47.916250553648602</v>
      </c>
      <c r="N10" s="2">
        <v>47.916250553648602</v>
      </c>
      <c r="O10" s="2">
        <v>47.916250553648602</v>
      </c>
      <c r="P10" s="2">
        <v>47.916250553648602</v>
      </c>
      <c r="Q10" s="2">
        <v>47.916250553648602</v>
      </c>
      <c r="R10" s="2">
        <v>47.916250553648602</v>
      </c>
      <c r="S10" s="2">
        <v>47.916250553648602</v>
      </c>
      <c r="T10" s="2">
        <v>47.916250553648602</v>
      </c>
      <c r="U10" s="5"/>
      <c r="V10" t="s">
        <v>232</v>
      </c>
      <c r="W10" s="5"/>
      <c r="X10" s="5"/>
      <c r="Y10" s="5"/>
      <c r="Z10" s="5"/>
      <c r="AA10" s="5"/>
      <c r="AB10" s="5"/>
    </row>
    <row r="11" spans="1:28" x14ac:dyDescent="0.25">
      <c r="C11" s="56"/>
    </row>
    <row r="12" spans="1:28" x14ac:dyDescent="0.25">
      <c r="A12" s="4" t="s">
        <v>233</v>
      </c>
      <c r="C12" s="56"/>
      <c r="V12" s="3" t="s">
        <v>4</v>
      </c>
    </row>
    <row r="13" spans="1:28" x14ac:dyDescent="0.25">
      <c r="A13" s="13" t="s">
        <v>234</v>
      </c>
      <c r="B13" t="s">
        <v>5</v>
      </c>
      <c r="C13" s="63">
        <v>1.6576735053344867</v>
      </c>
      <c r="D13" s="2">
        <v>1.6576735053344867</v>
      </c>
      <c r="E13" s="2">
        <v>1.6576735053344867</v>
      </c>
      <c r="F13" s="2">
        <v>1.6576735053344867</v>
      </c>
      <c r="G13" s="2">
        <v>1.6576735053344867</v>
      </c>
      <c r="H13" s="2">
        <v>1.6576735053344867</v>
      </c>
      <c r="I13" s="2">
        <v>1.6576735053344867</v>
      </c>
      <c r="J13" s="2">
        <v>1.6576735053344867</v>
      </c>
      <c r="K13" s="2">
        <v>1.6576735053344867</v>
      </c>
      <c r="L13" s="2">
        <v>1.6576735053344867</v>
      </c>
      <c r="M13" s="2">
        <v>1.6576735053344867</v>
      </c>
      <c r="N13" s="2">
        <v>1.6576735053344867</v>
      </c>
      <c r="O13" s="2">
        <v>1.6576735053344867</v>
      </c>
      <c r="P13" s="2">
        <v>1.6576735053344867</v>
      </c>
      <c r="Q13" s="2">
        <v>1.6576735053344867</v>
      </c>
      <c r="R13" s="2">
        <v>1.6576735053344867</v>
      </c>
      <c r="S13" s="2">
        <v>1.6576735053344867</v>
      </c>
      <c r="T13" s="2">
        <v>1.6576735053344867</v>
      </c>
      <c r="V13" t="s">
        <v>235</v>
      </c>
    </row>
    <row r="14" spans="1:28" x14ac:dyDescent="0.25">
      <c r="A14" s="13" t="s">
        <v>234</v>
      </c>
      <c r="B14" t="s">
        <v>3</v>
      </c>
      <c r="C14" s="63">
        <v>1.9783724435130701</v>
      </c>
      <c r="D14" s="2">
        <v>1.9783724435130701</v>
      </c>
      <c r="E14" s="2">
        <v>1.9783724435130701</v>
      </c>
      <c r="F14" s="2">
        <v>1.9783724435130701</v>
      </c>
      <c r="G14" s="2">
        <v>1.9783724435130701</v>
      </c>
      <c r="H14" s="2">
        <v>1.9783724435130701</v>
      </c>
      <c r="I14" s="2">
        <v>1.9783724435130701</v>
      </c>
      <c r="J14" s="2">
        <v>1.9783724435130701</v>
      </c>
      <c r="K14" s="2">
        <v>1.9783724435130701</v>
      </c>
      <c r="L14" s="2">
        <v>1.9783724435130701</v>
      </c>
      <c r="M14" s="2">
        <v>1.9783724435130701</v>
      </c>
      <c r="N14" s="2">
        <v>1.9783724435130701</v>
      </c>
      <c r="O14" s="2">
        <v>1.9783724435130701</v>
      </c>
      <c r="P14" s="2">
        <v>1.9783724435130701</v>
      </c>
      <c r="Q14" s="2">
        <v>1.9783724435130701</v>
      </c>
      <c r="R14" s="2">
        <v>1.9783724435130701</v>
      </c>
      <c r="S14" s="2">
        <v>1.9783724435130701</v>
      </c>
      <c r="T14" s="2">
        <v>1.9783724435130701</v>
      </c>
      <c r="V14" t="s">
        <v>235</v>
      </c>
    </row>
    <row r="15" spans="1:28" x14ac:dyDescent="0.25">
      <c r="C15" s="63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8" x14ac:dyDescent="0.25">
      <c r="C16" s="58">
        <v>2023</v>
      </c>
      <c r="D16" s="3">
        <v>2024</v>
      </c>
      <c r="E16" s="3">
        <v>2025</v>
      </c>
      <c r="F16" s="3">
        <v>2026</v>
      </c>
      <c r="G16" s="3">
        <v>2027</v>
      </c>
      <c r="H16" s="3">
        <v>2028</v>
      </c>
      <c r="I16" s="3">
        <v>2029</v>
      </c>
      <c r="J16" s="3">
        <v>2030</v>
      </c>
      <c r="K16" s="3">
        <v>2031</v>
      </c>
      <c r="L16" s="3">
        <v>2032</v>
      </c>
      <c r="M16" s="3">
        <v>2033</v>
      </c>
      <c r="N16" s="3">
        <v>2034</v>
      </c>
      <c r="O16" s="3">
        <v>2035</v>
      </c>
      <c r="P16" s="3">
        <v>2036</v>
      </c>
      <c r="Q16" s="3">
        <v>2037</v>
      </c>
      <c r="R16" s="3">
        <v>2038</v>
      </c>
      <c r="S16" s="3">
        <v>2039</v>
      </c>
      <c r="T16" s="3">
        <v>2040</v>
      </c>
      <c r="V16" s="3" t="s">
        <v>4</v>
      </c>
    </row>
    <row r="17" spans="1:22" x14ac:dyDescent="0.25">
      <c r="A17" t="s">
        <v>5</v>
      </c>
      <c r="B17" t="s">
        <v>2</v>
      </c>
      <c r="C17" s="63">
        <v>0.90484798985976844</v>
      </c>
      <c r="D17" s="2">
        <v>0.70629323878539141</v>
      </c>
      <c r="E17" s="2">
        <v>0.66330147642454163</v>
      </c>
      <c r="F17" s="2">
        <v>0.60597912661007491</v>
      </c>
      <c r="G17" s="2">
        <v>0.56094013747013705</v>
      </c>
      <c r="H17" s="2">
        <v>0.54660955001652034</v>
      </c>
      <c r="I17" s="2">
        <v>0.56201493152915805</v>
      </c>
      <c r="J17" s="2">
        <v>0.57685732567754677</v>
      </c>
      <c r="K17" s="2">
        <v>0.57685732567754677</v>
      </c>
      <c r="L17" s="2">
        <v>0.57685732567754677</v>
      </c>
      <c r="M17" s="2">
        <v>0.57685732567754677</v>
      </c>
      <c r="N17" s="2">
        <v>0.57685732567754677</v>
      </c>
      <c r="O17" s="2">
        <v>0.57685732567754677</v>
      </c>
      <c r="P17" s="2">
        <v>0.57685732567754677</v>
      </c>
      <c r="Q17" s="2">
        <v>0.57685732567754677</v>
      </c>
      <c r="R17" s="2">
        <v>0.57685732567754677</v>
      </c>
      <c r="S17" s="2">
        <v>0.57685732567754677</v>
      </c>
      <c r="T17" s="2">
        <v>0.57685732567754677</v>
      </c>
      <c r="V17" t="s">
        <v>236</v>
      </c>
    </row>
    <row r="18" spans="1:22" x14ac:dyDescent="0.25">
      <c r="A18" s="13" t="s">
        <v>156</v>
      </c>
      <c r="B18" t="s">
        <v>1</v>
      </c>
      <c r="C18" s="63">
        <v>0.72387839188781467</v>
      </c>
      <c r="D18" s="2">
        <v>0.54330249137337794</v>
      </c>
      <c r="E18" s="2">
        <v>0.51023190494195503</v>
      </c>
      <c r="F18" s="2">
        <v>0.46613778970005765</v>
      </c>
      <c r="G18" s="2">
        <v>0.43149241343856692</v>
      </c>
      <c r="H18" s="2">
        <v>0.42046888462809251</v>
      </c>
      <c r="I18" s="2">
        <v>0.43231917809935239</v>
      </c>
      <c r="J18" s="2">
        <v>0.44373640436734368</v>
      </c>
      <c r="K18" s="2">
        <v>0.44373640436734368</v>
      </c>
      <c r="L18" s="2">
        <v>0.44373640436734368</v>
      </c>
      <c r="M18" s="2">
        <v>0.44373640436734368</v>
      </c>
      <c r="N18" s="2">
        <v>0.44373640436734368</v>
      </c>
      <c r="O18" s="2">
        <v>0.44373640436734368</v>
      </c>
      <c r="P18" s="2">
        <v>0.44373640436734368</v>
      </c>
      <c r="Q18" s="2">
        <v>0.44373640436734368</v>
      </c>
      <c r="R18" s="2">
        <v>0.44373640436734368</v>
      </c>
      <c r="S18" s="2">
        <v>0.44373640436734368</v>
      </c>
      <c r="T18" s="2">
        <v>0.44373640436734368</v>
      </c>
      <c r="V18" t="s">
        <v>236</v>
      </c>
    </row>
    <row r="19" spans="1:22" x14ac:dyDescent="0.25">
      <c r="B19" t="s">
        <v>0</v>
      </c>
      <c r="C19" s="63">
        <v>0.542908793915861</v>
      </c>
      <c r="D19" s="2">
        <v>0.38031174396136452</v>
      </c>
      <c r="E19" s="2">
        <v>0.35716233345936854</v>
      </c>
      <c r="F19" s="2">
        <v>0.32629645279004033</v>
      </c>
      <c r="G19" s="2">
        <v>0.30204468940699686</v>
      </c>
      <c r="H19" s="2">
        <v>0.29432821923966473</v>
      </c>
      <c r="I19" s="2">
        <v>0.30262342466954667</v>
      </c>
      <c r="J19" s="2">
        <v>0.31061548305714054</v>
      </c>
      <c r="K19" s="2">
        <v>0.31061548305714054</v>
      </c>
      <c r="L19" s="2">
        <v>0.31061548305714054</v>
      </c>
      <c r="M19" s="2">
        <v>0.31061548305714054</v>
      </c>
      <c r="N19" s="2">
        <v>0.31061548305714054</v>
      </c>
      <c r="O19" s="2">
        <v>0.31061548305714054</v>
      </c>
      <c r="P19" s="2">
        <v>0.31061548305714054</v>
      </c>
      <c r="Q19" s="2">
        <v>0.31061548305714054</v>
      </c>
      <c r="R19" s="2">
        <v>0.31061548305714054</v>
      </c>
      <c r="S19" s="2">
        <v>0.31061548305714054</v>
      </c>
      <c r="T19" s="2">
        <v>0.31061548305714054</v>
      </c>
      <c r="V19" t="s">
        <v>236</v>
      </c>
    </row>
    <row r="20" spans="1:22" x14ac:dyDescent="0.25">
      <c r="C20" s="56"/>
    </row>
    <row r="21" spans="1:22" x14ac:dyDescent="0.25">
      <c r="C21" s="58">
        <v>2023</v>
      </c>
      <c r="D21" s="3">
        <v>2024</v>
      </c>
      <c r="E21" s="3">
        <v>2025</v>
      </c>
      <c r="F21" s="3">
        <v>2026</v>
      </c>
      <c r="G21" s="3">
        <v>2027</v>
      </c>
      <c r="H21" s="3">
        <v>2028</v>
      </c>
      <c r="I21" s="3">
        <v>2029</v>
      </c>
      <c r="J21" s="3">
        <v>2030</v>
      </c>
      <c r="K21" s="3">
        <v>2031</v>
      </c>
      <c r="L21" s="3">
        <v>2032</v>
      </c>
      <c r="M21" s="3">
        <v>2033</v>
      </c>
      <c r="N21" s="3">
        <v>2034</v>
      </c>
      <c r="O21" s="3">
        <v>2035</v>
      </c>
      <c r="P21" s="3">
        <v>2036</v>
      </c>
      <c r="Q21" s="3">
        <v>2037</v>
      </c>
      <c r="R21" s="3">
        <v>2038</v>
      </c>
      <c r="S21" s="3">
        <v>2039</v>
      </c>
      <c r="T21" s="3">
        <v>2040</v>
      </c>
      <c r="V21" s="3" t="s">
        <v>4</v>
      </c>
    </row>
    <row r="22" spans="1:22" x14ac:dyDescent="0.25">
      <c r="A22" t="s">
        <v>3</v>
      </c>
      <c r="B22" t="s">
        <v>2</v>
      </c>
      <c r="C22" s="63">
        <v>0.30582340689306209</v>
      </c>
      <c r="D22" s="2">
        <v>0.24650520646172849</v>
      </c>
      <c r="E22" s="2">
        <v>0.19854945843097171</v>
      </c>
      <c r="F22" s="2">
        <v>0.18157502286562957</v>
      </c>
      <c r="G22" s="2">
        <v>0.17205905141233174</v>
      </c>
      <c r="H22" s="2">
        <v>0.16187867654675403</v>
      </c>
      <c r="I22" s="2">
        <v>0.17152034256149695</v>
      </c>
      <c r="J22" s="2">
        <v>0.1760500665704974</v>
      </c>
      <c r="K22" s="2">
        <v>0.1760500665704974</v>
      </c>
      <c r="L22" s="2">
        <v>0.1760500665704974</v>
      </c>
      <c r="M22" s="2">
        <v>0.1760500665704974</v>
      </c>
      <c r="N22" s="2">
        <v>0.1760500665704974</v>
      </c>
      <c r="O22" s="2">
        <v>0.1760500665704974</v>
      </c>
      <c r="P22" s="2">
        <v>0.1760500665704974</v>
      </c>
      <c r="Q22" s="2">
        <v>0.1760500665704974</v>
      </c>
      <c r="R22" s="2">
        <v>0.1760500665704974</v>
      </c>
      <c r="S22" s="2">
        <v>0.1760500665704974</v>
      </c>
      <c r="T22" s="2">
        <v>0.1760500665704974</v>
      </c>
      <c r="V22" t="s">
        <v>236</v>
      </c>
    </row>
    <row r="23" spans="1:22" x14ac:dyDescent="0.25">
      <c r="A23" s="13" t="s">
        <v>158</v>
      </c>
      <c r="B23" t="s">
        <v>1</v>
      </c>
      <c r="C23" s="63">
        <v>0.2446587255144497</v>
      </c>
      <c r="D23" s="2">
        <v>0.17607514747266326</v>
      </c>
      <c r="E23" s="2">
        <v>0.152730352639209</v>
      </c>
      <c r="F23" s="2">
        <v>0.13967309451202276</v>
      </c>
      <c r="G23" s="2">
        <v>0.13235311647102441</v>
      </c>
      <c r="H23" s="2">
        <v>0.12452205888211848</v>
      </c>
      <c r="I23" s="2">
        <v>0.13193872504730536</v>
      </c>
      <c r="J23" s="2">
        <v>0.13542312813115184</v>
      </c>
      <c r="K23" s="2">
        <v>0.13542312813115184</v>
      </c>
      <c r="L23" s="2">
        <v>0.13542312813115184</v>
      </c>
      <c r="M23" s="2">
        <v>0.13542312813115184</v>
      </c>
      <c r="N23" s="2">
        <v>0.13542312813115184</v>
      </c>
      <c r="O23" s="2">
        <v>0.13542312813115184</v>
      </c>
      <c r="P23" s="2">
        <v>0.13542312813115184</v>
      </c>
      <c r="Q23" s="2">
        <v>0.13542312813115184</v>
      </c>
      <c r="R23" s="2">
        <v>0.13542312813115184</v>
      </c>
      <c r="S23" s="2">
        <v>0.13542312813115184</v>
      </c>
      <c r="T23" s="2">
        <v>0.13542312813115184</v>
      </c>
      <c r="V23" t="s">
        <v>236</v>
      </c>
    </row>
    <row r="24" spans="1:22" x14ac:dyDescent="0.25">
      <c r="B24" t="s">
        <v>0</v>
      </c>
      <c r="C24" s="63">
        <v>0.18349404413583725</v>
      </c>
      <c r="D24" s="2">
        <v>0.12325260323086425</v>
      </c>
      <c r="E24" s="2">
        <v>0.10691124684744631</v>
      </c>
      <c r="F24" s="2">
        <v>9.7771166158415912E-2</v>
      </c>
      <c r="G24" s="2">
        <v>9.2647181529717071E-2</v>
      </c>
      <c r="H24" s="2">
        <v>8.7165441217482945E-2</v>
      </c>
      <c r="I24" s="2">
        <v>9.2357107533113728E-2</v>
      </c>
      <c r="J24" s="2">
        <v>9.4796189691806282E-2</v>
      </c>
      <c r="K24" s="2">
        <v>9.4796189691806282E-2</v>
      </c>
      <c r="L24" s="2">
        <v>9.4796189691806282E-2</v>
      </c>
      <c r="M24" s="2">
        <v>9.4796189691806282E-2</v>
      </c>
      <c r="N24" s="2">
        <v>9.4796189691806282E-2</v>
      </c>
      <c r="O24" s="2">
        <v>9.4796189691806282E-2</v>
      </c>
      <c r="P24" s="2">
        <v>9.4796189691806282E-2</v>
      </c>
      <c r="Q24" s="2">
        <v>9.4796189691806282E-2</v>
      </c>
      <c r="R24" s="2">
        <v>9.4796189691806282E-2</v>
      </c>
      <c r="S24" s="2">
        <v>9.4796189691806282E-2</v>
      </c>
      <c r="T24" s="2">
        <v>9.4796189691806282E-2</v>
      </c>
      <c r="V24" t="s">
        <v>236</v>
      </c>
    </row>
    <row r="25" spans="1:22" x14ac:dyDescent="0.25">
      <c r="C25" s="56"/>
      <c r="D25" s="35"/>
      <c r="E25" s="35"/>
      <c r="F25" s="35"/>
      <c r="G25" s="35"/>
      <c r="H25" s="35"/>
      <c r="I25" s="35"/>
      <c r="J25" s="35"/>
    </row>
    <row r="26" spans="1:22" x14ac:dyDescent="0.25">
      <c r="A26" s="4" t="s">
        <v>237</v>
      </c>
      <c r="C26" s="63"/>
      <c r="D26" s="2"/>
      <c r="E26" s="2"/>
      <c r="F26" s="2"/>
      <c r="G26" s="2"/>
      <c r="H26" s="2"/>
      <c r="I26" s="2"/>
      <c r="J26" s="2"/>
    </row>
    <row r="27" spans="1:22" s="1" customFormat="1" x14ac:dyDescent="0.25">
      <c r="A27" s="62"/>
      <c r="B27" s="1" t="s">
        <v>78</v>
      </c>
      <c r="C27" s="64"/>
      <c r="E27" s="1">
        <v>1.02</v>
      </c>
      <c r="F27" s="1">
        <v>1.02</v>
      </c>
      <c r="G27" s="1">
        <v>1.02</v>
      </c>
      <c r="H27" s="1">
        <v>1.02</v>
      </c>
      <c r="I27" s="1">
        <v>1.02</v>
      </c>
      <c r="J27" s="1">
        <v>1.02</v>
      </c>
      <c r="K27" s="1">
        <v>1.02</v>
      </c>
      <c r="L27" s="1">
        <v>1.02</v>
      </c>
      <c r="M27" s="1">
        <v>1.02</v>
      </c>
      <c r="N27" s="1">
        <v>1.02</v>
      </c>
      <c r="O27" s="1">
        <v>1.02</v>
      </c>
      <c r="P27" s="1">
        <v>1.02</v>
      </c>
      <c r="Q27" s="1">
        <v>1.02</v>
      </c>
      <c r="R27" s="1">
        <v>1.02</v>
      </c>
      <c r="S27" s="1">
        <v>1.02</v>
      </c>
      <c r="T27" s="1">
        <v>1.02</v>
      </c>
    </row>
    <row r="28" spans="1:22" x14ac:dyDescent="0.25">
      <c r="A28" t="s">
        <v>6</v>
      </c>
      <c r="B28" t="s">
        <v>5</v>
      </c>
      <c r="C28" s="63">
        <v>0.59289999999999998</v>
      </c>
      <c r="D28" s="2">
        <v>0.70545359500000004</v>
      </c>
      <c r="E28" s="2">
        <v>0.7412648396999999</v>
      </c>
      <c r="F28" s="2">
        <v>0.76259265001920018</v>
      </c>
      <c r="G28" s="2">
        <v>0.78137246248538417</v>
      </c>
      <c r="H28" s="2">
        <v>0.80189389710604952</v>
      </c>
      <c r="I28" s="2">
        <v>0.83481602457797488</v>
      </c>
      <c r="J28" s="2">
        <v>0.85540599983066845</v>
      </c>
      <c r="K28" s="2">
        <v>0.87251411982728189</v>
      </c>
      <c r="L28" s="2">
        <v>0.88996440222382756</v>
      </c>
      <c r="M28" s="2">
        <v>0.90776369026830417</v>
      </c>
      <c r="N28" s="2">
        <v>0.92591896407367025</v>
      </c>
      <c r="O28" s="2">
        <v>0.94443734335514362</v>
      </c>
      <c r="P28" s="2">
        <v>0.96332609022224647</v>
      </c>
      <c r="Q28" s="2">
        <v>0.98259261202669146</v>
      </c>
      <c r="R28" s="2">
        <v>1.0022444642672252</v>
      </c>
      <c r="S28" s="2">
        <v>1.0222893535525697</v>
      </c>
      <c r="T28" s="2">
        <v>1.0427351406236212</v>
      </c>
      <c r="V28" t="s">
        <v>238</v>
      </c>
    </row>
    <row r="29" spans="1:22" x14ac:dyDescent="0.25">
      <c r="B29" t="s">
        <v>3</v>
      </c>
      <c r="C29" s="63">
        <v>0.15245999999999998</v>
      </c>
      <c r="D29" s="2">
        <v>0.13164920999999999</v>
      </c>
      <c r="E29" s="2">
        <v>0.12315983064000001</v>
      </c>
      <c r="F29" s="2">
        <v>0.10929756776400001</v>
      </c>
      <c r="G29" s="2">
        <v>0.10386312667315202</v>
      </c>
      <c r="H29" s="2">
        <v>0.10018275935842948</v>
      </c>
      <c r="I29" s="2">
        <v>9.5285895172547624E-2</v>
      </c>
      <c r="J29" s="2">
        <v>9.868917259951164E-2</v>
      </c>
      <c r="K29" s="2">
        <v>0.10066295605150187</v>
      </c>
      <c r="L29" s="2">
        <v>0.10267621517253191</v>
      </c>
      <c r="M29" s="2">
        <v>0.10472973947598255</v>
      </c>
      <c r="N29" s="2">
        <v>0.1068243342655022</v>
      </c>
      <c r="O29" s="2">
        <v>0.10896082095081225</v>
      </c>
      <c r="P29" s="2">
        <v>0.1111400373698285</v>
      </c>
      <c r="Q29" s="2">
        <v>0.11336283811722507</v>
      </c>
      <c r="R29" s="2">
        <v>0.11563009487956957</v>
      </c>
      <c r="S29" s="2">
        <v>0.11794269677716096</v>
      </c>
      <c r="T29" s="2">
        <v>0.12030155071270418</v>
      </c>
      <c r="V29" t="s">
        <v>238</v>
      </c>
    </row>
    <row r="30" spans="1:22" x14ac:dyDescent="0.25">
      <c r="C30" s="64"/>
      <c r="D30" s="1"/>
      <c r="E30" s="1"/>
      <c r="F30" s="1"/>
      <c r="G30" s="1"/>
      <c r="H30" s="1"/>
      <c r="I30" s="1"/>
      <c r="J30" s="43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2" x14ac:dyDescent="0.25">
      <c r="C31" s="58">
        <v>2023</v>
      </c>
      <c r="D31" s="3">
        <v>2024</v>
      </c>
      <c r="E31" s="3">
        <v>2025</v>
      </c>
      <c r="F31" s="3">
        <v>2026</v>
      </c>
      <c r="G31" s="3">
        <v>2027</v>
      </c>
      <c r="H31" s="3">
        <v>2028</v>
      </c>
      <c r="I31" s="3">
        <v>2029</v>
      </c>
      <c r="J31" s="3">
        <v>2030</v>
      </c>
      <c r="K31" s="3">
        <v>2031</v>
      </c>
      <c r="L31" s="3">
        <v>2032</v>
      </c>
      <c r="M31" s="3">
        <v>2033</v>
      </c>
      <c r="N31" s="3">
        <v>2034</v>
      </c>
      <c r="O31" s="3">
        <v>2035</v>
      </c>
      <c r="P31" s="3">
        <v>2036</v>
      </c>
      <c r="Q31" s="3">
        <v>2037</v>
      </c>
      <c r="R31" s="3">
        <v>2038</v>
      </c>
      <c r="S31" s="3">
        <v>2039</v>
      </c>
      <c r="T31" s="3">
        <v>2040</v>
      </c>
      <c r="V31" s="3" t="s">
        <v>4</v>
      </c>
    </row>
    <row r="32" spans="1:22" x14ac:dyDescent="0.25">
      <c r="A32" t="s">
        <v>5</v>
      </c>
      <c r="B32" t="s">
        <v>2</v>
      </c>
      <c r="C32" s="63">
        <v>2.5</v>
      </c>
      <c r="D32" s="2">
        <v>1.4117468337853913</v>
      </c>
      <c r="E32" s="2">
        <v>1.4045663161245416</v>
      </c>
      <c r="F32" s="2">
        <v>1.3685717766292751</v>
      </c>
      <c r="G32" s="2">
        <v>1.3423125999555212</v>
      </c>
      <c r="H32" s="2">
        <v>1.3485034471225699</v>
      </c>
      <c r="I32" s="2">
        <v>1.396830956107133</v>
      </c>
      <c r="J32" s="2">
        <v>1.4322633255082153</v>
      </c>
      <c r="K32" s="2">
        <v>1.4493714455048288</v>
      </c>
      <c r="L32" s="2">
        <v>1.4668217279013742</v>
      </c>
      <c r="M32" s="2">
        <v>1.4846210159458511</v>
      </c>
      <c r="N32" s="2">
        <v>1.5027762897512171</v>
      </c>
      <c r="O32" s="2">
        <v>1.5212946690326903</v>
      </c>
      <c r="P32" s="2">
        <v>1.5401834158997931</v>
      </c>
      <c r="Q32" s="2">
        <v>1.5594499377042381</v>
      </c>
      <c r="R32" s="2">
        <v>1.5791017899447719</v>
      </c>
      <c r="S32" s="2">
        <v>1.5991466792301163</v>
      </c>
      <c r="T32" s="2">
        <v>1.6195924663011678</v>
      </c>
      <c r="V32" t="s">
        <v>239</v>
      </c>
    </row>
    <row r="33" spans="1:22" x14ac:dyDescent="0.25">
      <c r="A33" s="13" t="s">
        <v>156</v>
      </c>
      <c r="B33" t="s">
        <v>1</v>
      </c>
      <c r="C33" s="63">
        <v>1.3167783918878146</v>
      </c>
      <c r="D33" s="2">
        <v>1.248756086373378</v>
      </c>
      <c r="E33" s="2">
        <v>1.2514967446419549</v>
      </c>
      <c r="F33" s="2">
        <v>1.2287304397192578</v>
      </c>
      <c r="G33" s="2">
        <v>1.2128648759239511</v>
      </c>
      <c r="H33" s="2">
        <v>1.222362781734142</v>
      </c>
      <c r="I33" s="2">
        <v>1.2671352026773273</v>
      </c>
      <c r="J33" s="2">
        <v>1.2991424041980122</v>
      </c>
      <c r="K33" s="2">
        <v>1.3162505241946256</v>
      </c>
      <c r="L33" s="2">
        <v>1.3337008065911713</v>
      </c>
      <c r="M33" s="2">
        <v>1.3515000946356479</v>
      </c>
      <c r="N33" s="2">
        <v>1.369655368441014</v>
      </c>
      <c r="O33" s="2">
        <v>1.3881737477224874</v>
      </c>
      <c r="P33" s="2">
        <v>1.4070624945895902</v>
      </c>
      <c r="Q33" s="2">
        <v>1.4263290163940352</v>
      </c>
      <c r="R33" s="2">
        <v>1.445980868634569</v>
      </c>
      <c r="S33" s="2">
        <v>1.4660257579199134</v>
      </c>
      <c r="T33" s="2">
        <v>1.4864715449909649</v>
      </c>
      <c r="V33" t="s">
        <v>239</v>
      </c>
    </row>
    <row r="34" spans="1:22" x14ac:dyDescent="0.25">
      <c r="B34" t="s">
        <v>0</v>
      </c>
      <c r="C34" s="63">
        <v>1.135808793915861</v>
      </c>
      <c r="D34" s="2">
        <v>1.0857653389613646</v>
      </c>
      <c r="E34" s="2">
        <v>1.0984271731593684</v>
      </c>
      <c r="F34" s="2">
        <v>1.0888891028092405</v>
      </c>
      <c r="G34" s="2">
        <v>1.083417151892381</v>
      </c>
      <c r="H34" s="2">
        <v>1.0962221163457142</v>
      </c>
      <c r="I34" s="2">
        <v>1.1374394492475215</v>
      </c>
      <c r="J34" s="2">
        <v>1.166021482887809</v>
      </c>
      <c r="K34" s="2">
        <v>1.1831296028844225</v>
      </c>
      <c r="L34" s="2">
        <v>1.2005798852809682</v>
      </c>
      <c r="M34" s="2">
        <v>1.2183791733254448</v>
      </c>
      <c r="N34" s="2">
        <v>1.2365344471308108</v>
      </c>
      <c r="O34" s="2">
        <v>1.2550528264122842</v>
      </c>
      <c r="P34" s="2">
        <v>1.2739415732793871</v>
      </c>
      <c r="Q34" s="2">
        <v>1.2932080950838321</v>
      </c>
      <c r="R34" s="2">
        <v>1.3128599473243658</v>
      </c>
      <c r="S34" s="2">
        <v>1.3329048366097103</v>
      </c>
      <c r="T34" s="2">
        <v>1.3533506236807618</v>
      </c>
      <c r="V34" t="s">
        <v>239</v>
      </c>
    </row>
    <row r="35" spans="1:22" x14ac:dyDescent="0.25">
      <c r="B35" t="s">
        <v>226</v>
      </c>
      <c r="C35" s="63">
        <v>2.5</v>
      </c>
      <c r="D35" s="2">
        <v>1.4117468337853913</v>
      </c>
      <c r="E35" s="2">
        <v>1.4045663161245416</v>
      </c>
      <c r="F35" s="2">
        <v>1.4610634432959417</v>
      </c>
      <c r="G35" s="2">
        <v>2.8022792666221878</v>
      </c>
      <c r="H35" s="2">
        <v>1.9395824701110755</v>
      </c>
      <c r="I35" s="2">
        <v>1.396830956107133</v>
      </c>
      <c r="J35" s="2">
        <v>1.4322633255082153</v>
      </c>
      <c r="K35" s="2">
        <v>1.4493714455048288</v>
      </c>
      <c r="L35" s="2">
        <v>1.4668217279013742</v>
      </c>
      <c r="M35" s="2">
        <v>1.5771126826125177</v>
      </c>
      <c r="N35" s="2">
        <v>2.962742956417884</v>
      </c>
      <c r="O35" s="2">
        <v>2.1123736920211957</v>
      </c>
      <c r="P35" s="2">
        <v>1.5401834158997931</v>
      </c>
      <c r="Q35" s="2">
        <v>1.5594499377042381</v>
      </c>
      <c r="R35" s="2">
        <v>1.5791017899447719</v>
      </c>
      <c r="S35" s="2">
        <v>1.5991466792301163</v>
      </c>
      <c r="T35" s="2">
        <v>1.6195924663011678</v>
      </c>
      <c r="V35" t="s">
        <v>240</v>
      </c>
    </row>
    <row r="36" spans="1:22" x14ac:dyDescent="0.25">
      <c r="C36" s="56"/>
    </row>
    <row r="37" spans="1:22" x14ac:dyDescent="0.25">
      <c r="C37" s="58">
        <v>2023</v>
      </c>
      <c r="D37" s="3">
        <v>2024</v>
      </c>
      <c r="E37" s="3">
        <v>2025</v>
      </c>
      <c r="F37" s="3">
        <v>2026</v>
      </c>
      <c r="G37" s="3">
        <v>2027</v>
      </c>
      <c r="H37" s="3">
        <v>2028</v>
      </c>
      <c r="I37" s="3">
        <v>2029</v>
      </c>
      <c r="J37" s="3">
        <v>2030</v>
      </c>
      <c r="K37" s="3">
        <v>2031</v>
      </c>
      <c r="L37" s="3">
        <v>2032</v>
      </c>
      <c r="M37" s="3">
        <v>2033</v>
      </c>
      <c r="N37" s="3">
        <v>2034</v>
      </c>
      <c r="O37" s="3">
        <v>2035</v>
      </c>
      <c r="P37" s="3">
        <v>2036</v>
      </c>
      <c r="Q37" s="3">
        <v>2037</v>
      </c>
      <c r="R37" s="3">
        <v>2038</v>
      </c>
      <c r="S37" s="3">
        <v>2039</v>
      </c>
      <c r="T37" s="3">
        <v>2040</v>
      </c>
      <c r="V37" s="3" t="s">
        <v>4</v>
      </c>
    </row>
    <row r="38" spans="1:22" x14ac:dyDescent="0.25">
      <c r="A38" t="s">
        <v>3</v>
      </c>
      <c r="B38" t="s">
        <v>2</v>
      </c>
      <c r="C38" s="63">
        <v>0.8</v>
      </c>
      <c r="D38" s="2">
        <v>0.37815441646172848</v>
      </c>
      <c r="E38" s="2">
        <v>0.32170928907097174</v>
      </c>
      <c r="F38" s="2">
        <v>0.29087259062962956</v>
      </c>
      <c r="G38" s="2">
        <v>0.27592217808548375</v>
      </c>
      <c r="H38" s="2">
        <v>0.26206143590518349</v>
      </c>
      <c r="I38" s="2">
        <v>0.26680623773404455</v>
      </c>
      <c r="J38" s="2">
        <v>0.27473923917000903</v>
      </c>
      <c r="K38" s="2">
        <v>0.27671302262199926</v>
      </c>
      <c r="L38" s="2">
        <v>0.27872628174302932</v>
      </c>
      <c r="M38" s="2">
        <v>0.28077980604647995</v>
      </c>
      <c r="N38" s="2">
        <v>0.28287440083599957</v>
      </c>
      <c r="O38" s="2">
        <v>0.28501088752130965</v>
      </c>
      <c r="P38" s="2">
        <v>0.2871901039403259</v>
      </c>
      <c r="Q38" s="2">
        <v>0.28941290468772246</v>
      </c>
      <c r="R38" s="2">
        <v>0.29168016145006698</v>
      </c>
      <c r="S38" s="2">
        <v>0.29399276334765834</v>
      </c>
      <c r="T38" s="2">
        <v>0.29635161728320158</v>
      </c>
      <c r="V38" t="s">
        <v>239</v>
      </c>
    </row>
    <row r="39" spans="1:22" x14ac:dyDescent="0.25">
      <c r="A39" s="13" t="s">
        <v>158</v>
      </c>
      <c r="B39" t="s">
        <v>1</v>
      </c>
      <c r="C39" s="63">
        <v>0.39711872551444971</v>
      </c>
      <c r="D39" s="2">
        <v>0.30772435747266325</v>
      </c>
      <c r="E39" s="2">
        <v>0.275890183279209</v>
      </c>
      <c r="F39" s="2">
        <v>0.24897066227602277</v>
      </c>
      <c r="G39" s="2">
        <v>0.23621624314417644</v>
      </c>
      <c r="H39" s="2">
        <v>0.22470481824054794</v>
      </c>
      <c r="I39" s="2">
        <v>0.22722462021985299</v>
      </c>
      <c r="J39" s="2">
        <v>0.23411230073066347</v>
      </c>
      <c r="K39" s="2">
        <v>0.2360860841826537</v>
      </c>
      <c r="L39" s="2">
        <v>0.23809934330368376</v>
      </c>
      <c r="M39" s="2">
        <v>0.24015286760713439</v>
      </c>
      <c r="N39" s="2">
        <v>0.24224746239665404</v>
      </c>
      <c r="O39" s="2">
        <v>0.24438394908196409</v>
      </c>
      <c r="P39" s="2">
        <v>0.24656316550098034</v>
      </c>
      <c r="Q39" s="2">
        <v>0.2487859662483769</v>
      </c>
      <c r="R39" s="2">
        <v>0.25105322301072142</v>
      </c>
      <c r="S39" s="2">
        <v>0.25336582490831283</v>
      </c>
      <c r="T39" s="2">
        <v>0.25572467884385602</v>
      </c>
      <c r="V39" t="s">
        <v>239</v>
      </c>
    </row>
    <row r="40" spans="1:22" x14ac:dyDescent="0.25">
      <c r="B40" t="s">
        <v>0</v>
      </c>
      <c r="C40" s="63">
        <v>0.33595404413583724</v>
      </c>
      <c r="D40" s="2">
        <v>0.25490181323086425</v>
      </c>
      <c r="E40" s="2">
        <v>0.23007107748744632</v>
      </c>
      <c r="F40" s="2">
        <v>0.20706873392241593</v>
      </c>
      <c r="G40" s="2">
        <v>0.19651030820286908</v>
      </c>
      <c r="H40" s="2">
        <v>0.18734820057591242</v>
      </c>
      <c r="I40" s="2">
        <v>0.18764300270566137</v>
      </c>
      <c r="J40" s="2">
        <v>0.19348536229131791</v>
      </c>
      <c r="K40" s="2">
        <v>0.19545914574330814</v>
      </c>
      <c r="L40" s="2">
        <v>0.1974724048643382</v>
      </c>
      <c r="M40" s="2">
        <v>0.19952592916778883</v>
      </c>
      <c r="N40" s="2">
        <v>0.20162052395730848</v>
      </c>
      <c r="O40" s="2">
        <v>0.20375701064261853</v>
      </c>
      <c r="P40" s="2">
        <v>0.20593622706163478</v>
      </c>
      <c r="Q40" s="2">
        <v>0.20815902780903134</v>
      </c>
      <c r="R40" s="2">
        <v>0.21042628457137585</v>
      </c>
      <c r="S40" s="2">
        <v>0.21273888646896724</v>
      </c>
      <c r="T40" s="2">
        <v>0.21509774040451046</v>
      </c>
      <c r="V40" t="s">
        <v>239</v>
      </c>
    </row>
    <row r="41" spans="1:22" x14ac:dyDescent="0.25">
      <c r="B41" t="s">
        <v>226</v>
      </c>
      <c r="C41" s="63">
        <v>0.39711872551444971</v>
      </c>
      <c r="D41" s="2">
        <v>0.37815441646172848</v>
      </c>
      <c r="E41" s="2">
        <v>0.32170928907097174</v>
      </c>
      <c r="F41" s="2">
        <v>0.32233092396296292</v>
      </c>
      <c r="G41" s="2">
        <v>0.65974717808548378</v>
      </c>
      <c r="H41" s="2">
        <v>0.46827948261431301</v>
      </c>
      <c r="I41" s="2">
        <v>0.26680623773404455</v>
      </c>
      <c r="J41" s="2">
        <v>0.27473923917000903</v>
      </c>
      <c r="K41" s="2">
        <v>0.27671302262199926</v>
      </c>
      <c r="L41" s="2">
        <v>0.27872628174302932</v>
      </c>
      <c r="M41" s="2">
        <v>0.31223813937981326</v>
      </c>
      <c r="N41" s="2">
        <v>0.66669940083599966</v>
      </c>
      <c r="O41" s="2">
        <v>0.49122893423043917</v>
      </c>
      <c r="P41" s="2">
        <v>0.2871901039403259</v>
      </c>
      <c r="Q41" s="2">
        <v>0.28941290468772246</v>
      </c>
      <c r="R41" s="2">
        <v>0.29168016145006698</v>
      </c>
      <c r="S41" s="2">
        <v>0.29399276334765834</v>
      </c>
      <c r="T41" s="2">
        <v>0.29635161728320158</v>
      </c>
      <c r="V41" t="s">
        <v>240</v>
      </c>
    </row>
    <row r="42" spans="1:22" hidden="1" x14ac:dyDescent="0.25"/>
    <row r="43" spans="1:22" s="56" customFormat="1" hidden="1" x14ac:dyDescent="0.25">
      <c r="A43" s="55" t="s">
        <v>145</v>
      </c>
    </row>
    <row r="44" spans="1:22" s="56" customFormat="1" hidden="1" x14ac:dyDescent="0.25">
      <c r="A44" s="56" t="s">
        <v>76</v>
      </c>
      <c r="B44" s="57">
        <v>0.86867079182497331</v>
      </c>
      <c r="C44" s="56" t="s">
        <v>77</v>
      </c>
    </row>
    <row r="45" spans="1:22" s="56" customFormat="1" hidden="1" x14ac:dyDescent="0.25">
      <c r="B45" s="57"/>
    </row>
    <row r="46" spans="1:22" s="56" customFormat="1" hidden="1" x14ac:dyDescent="0.25">
      <c r="A46" s="56" t="s">
        <v>79</v>
      </c>
      <c r="C46" s="58">
        <v>2023</v>
      </c>
      <c r="D46" s="58">
        <v>2024</v>
      </c>
      <c r="E46" s="58">
        <v>2025</v>
      </c>
      <c r="F46" s="58">
        <v>2026</v>
      </c>
      <c r="G46" s="58">
        <v>2027</v>
      </c>
      <c r="H46" s="58">
        <v>2028</v>
      </c>
      <c r="I46" s="58">
        <v>2029</v>
      </c>
      <c r="J46" s="58">
        <v>2030</v>
      </c>
      <c r="K46" s="58">
        <v>2031</v>
      </c>
      <c r="L46" s="58">
        <v>2032</v>
      </c>
      <c r="M46" s="58">
        <v>2033</v>
      </c>
      <c r="N46" s="58">
        <v>2034</v>
      </c>
      <c r="O46" s="58">
        <v>2035</v>
      </c>
      <c r="P46" s="58">
        <v>2036</v>
      </c>
      <c r="Q46" s="58">
        <v>2037</v>
      </c>
      <c r="R46" s="58">
        <v>2038</v>
      </c>
      <c r="S46" s="58">
        <v>2039</v>
      </c>
      <c r="T46" s="58">
        <v>2040</v>
      </c>
      <c r="V46" s="58" t="s">
        <v>4</v>
      </c>
    </row>
    <row r="47" spans="1:22" s="56" customFormat="1" hidden="1" x14ac:dyDescent="0.25">
      <c r="A47" s="59" t="s">
        <v>159</v>
      </c>
      <c r="B47" s="56" t="s">
        <v>78</v>
      </c>
      <c r="D47" s="57">
        <v>0.02</v>
      </c>
      <c r="E47" s="57">
        <v>0.02</v>
      </c>
      <c r="F47" s="57">
        <v>0.02</v>
      </c>
      <c r="G47" s="57">
        <v>0.02</v>
      </c>
      <c r="H47" s="57">
        <v>0.02</v>
      </c>
      <c r="I47" s="57">
        <v>0.02</v>
      </c>
      <c r="J47" s="57">
        <v>0.02</v>
      </c>
      <c r="K47" s="57">
        <v>0.02</v>
      </c>
      <c r="L47" s="57">
        <v>0.02</v>
      </c>
      <c r="M47" s="57">
        <v>0.02</v>
      </c>
      <c r="N47" s="57">
        <v>0.02</v>
      </c>
      <c r="O47" s="57">
        <v>0.02</v>
      </c>
      <c r="P47" s="57">
        <v>0.02</v>
      </c>
      <c r="Q47" s="57">
        <v>0.02</v>
      </c>
      <c r="R47" s="57">
        <v>0.02</v>
      </c>
      <c r="S47" s="57">
        <v>0.02</v>
      </c>
      <c r="T47" s="57">
        <v>0.02</v>
      </c>
    </row>
    <row r="48" spans="1:22" s="56" customFormat="1" hidden="1" x14ac:dyDescent="0.25">
      <c r="B48" s="56" t="s">
        <v>79</v>
      </c>
      <c r="C48" s="60">
        <v>630.22</v>
      </c>
      <c r="D48" s="60">
        <v>642.82440000000008</v>
      </c>
      <c r="E48" s="60">
        <v>655.6808880000001</v>
      </c>
      <c r="F48" s="60">
        <v>668.79450576000011</v>
      </c>
      <c r="G48" s="60">
        <v>682.17039587520014</v>
      </c>
      <c r="H48" s="60">
        <v>695.81380379270411</v>
      </c>
      <c r="I48" s="60">
        <v>709.73007986855816</v>
      </c>
      <c r="J48" s="60">
        <v>723.92468146592932</v>
      </c>
      <c r="K48" s="60">
        <v>738.40317509524789</v>
      </c>
      <c r="L48" s="60">
        <v>753.17123859715286</v>
      </c>
      <c r="M48" s="60">
        <v>768.23466336909598</v>
      </c>
      <c r="N48" s="60">
        <v>783.59935663647786</v>
      </c>
      <c r="O48" s="60">
        <v>799.27134376920742</v>
      </c>
      <c r="P48" s="60">
        <v>815.2567706445916</v>
      </c>
      <c r="Q48" s="60">
        <v>831.5619060574835</v>
      </c>
      <c r="R48" s="60">
        <v>848.19314417863313</v>
      </c>
      <c r="S48" s="60">
        <v>865.15700706220582</v>
      </c>
      <c r="T48" s="60">
        <v>882.46014720344999</v>
      </c>
      <c r="V48" s="56" t="s">
        <v>146</v>
      </c>
    </row>
    <row r="49" spans="1:22" s="56" customFormat="1" hidden="1" x14ac:dyDescent="0.25"/>
    <row r="50" spans="1:22" s="56" customFormat="1" hidden="1" x14ac:dyDescent="0.25">
      <c r="A50" s="56" t="s">
        <v>147</v>
      </c>
      <c r="B50" s="57" t="s">
        <v>78</v>
      </c>
      <c r="D50" s="57">
        <v>0.02</v>
      </c>
      <c r="E50" s="57">
        <v>0.02</v>
      </c>
      <c r="F50" s="57">
        <v>0.02</v>
      </c>
      <c r="G50" s="57">
        <v>0.02</v>
      </c>
      <c r="H50" s="57">
        <v>0.02</v>
      </c>
      <c r="I50" s="57">
        <v>0.02</v>
      </c>
      <c r="J50" s="57">
        <v>0.02</v>
      </c>
      <c r="K50" s="57">
        <v>0.02</v>
      </c>
      <c r="L50" s="57">
        <v>0.02</v>
      </c>
      <c r="M50" s="57">
        <v>0.02</v>
      </c>
      <c r="N50" s="57">
        <v>0.02</v>
      </c>
      <c r="O50" s="57">
        <v>0.02</v>
      </c>
      <c r="P50" s="57">
        <v>0.02</v>
      </c>
      <c r="Q50" s="57">
        <v>0.02</v>
      </c>
      <c r="R50" s="57">
        <v>0.02</v>
      </c>
      <c r="S50" s="57">
        <v>0.02</v>
      </c>
      <c r="T50" s="57">
        <v>0.02</v>
      </c>
    </row>
    <row r="51" spans="1:22" s="56" customFormat="1" hidden="1" x14ac:dyDescent="0.25">
      <c r="A51" s="59" t="s">
        <v>157</v>
      </c>
      <c r="B51" s="57" t="s">
        <v>148</v>
      </c>
      <c r="C51" s="60">
        <v>45.385562628154922</v>
      </c>
      <c r="D51" s="60">
        <v>169.6794034462369</v>
      </c>
      <c r="E51" s="60">
        <v>169.6794034462369</v>
      </c>
      <c r="F51" s="60">
        <v>169.6794034462369</v>
      </c>
      <c r="G51" s="60">
        <v>169.6794034462369</v>
      </c>
      <c r="H51" s="60">
        <v>169.6794034462369</v>
      </c>
      <c r="I51" s="60">
        <v>169.6794034462369</v>
      </c>
      <c r="J51" s="60">
        <v>169.6794034462369</v>
      </c>
      <c r="K51" s="60">
        <v>169.6794034462369</v>
      </c>
      <c r="L51" s="60">
        <v>169.6794034462369</v>
      </c>
      <c r="M51" s="60">
        <v>169.6794034462369</v>
      </c>
      <c r="N51" s="60">
        <v>169.6794034462369</v>
      </c>
      <c r="O51" s="60">
        <v>169.6794034462369</v>
      </c>
      <c r="P51" s="60">
        <v>169.6794034462369</v>
      </c>
      <c r="Q51" s="60">
        <v>169.6794034462369</v>
      </c>
      <c r="R51" s="60">
        <v>169.6794034462369</v>
      </c>
      <c r="S51" s="60">
        <v>169.6794034462369</v>
      </c>
      <c r="T51" s="60">
        <v>169.6794034462369</v>
      </c>
      <c r="V51" s="56" t="s">
        <v>151</v>
      </c>
    </row>
    <row r="52" spans="1:22" s="56" customFormat="1" hidden="1" x14ac:dyDescent="0.25"/>
    <row r="53" spans="1:22" s="56" customFormat="1" hidden="1" x14ac:dyDescent="0.25">
      <c r="B53" s="56" t="s">
        <v>76</v>
      </c>
      <c r="C53" s="57">
        <v>0.92506208790813726</v>
      </c>
      <c r="D53" s="56" t="s">
        <v>77</v>
      </c>
    </row>
    <row r="54" spans="1:22" s="56" customFormat="1" hidden="1" x14ac:dyDescent="0.25">
      <c r="C54" s="58">
        <v>2023</v>
      </c>
      <c r="D54" s="58">
        <v>2024</v>
      </c>
      <c r="E54" s="58">
        <v>2025</v>
      </c>
      <c r="F54" s="58">
        <v>2026</v>
      </c>
      <c r="G54" s="58">
        <v>2027</v>
      </c>
      <c r="H54" s="58">
        <v>2028</v>
      </c>
      <c r="I54" s="58">
        <v>2029</v>
      </c>
      <c r="J54" s="58">
        <v>2030</v>
      </c>
      <c r="K54" s="58">
        <v>2031</v>
      </c>
      <c r="L54" s="58">
        <v>2032</v>
      </c>
      <c r="M54" s="58">
        <v>2033</v>
      </c>
      <c r="N54" s="58">
        <v>2034</v>
      </c>
      <c r="O54" s="58">
        <v>2035</v>
      </c>
      <c r="P54" s="58">
        <v>2036</v>
      </c>
      <c r="Q54" s="58">
        <v>2037</v>
      </c>
      <c r="R54" s="58">
        <v>2038</v>
      </c>
      <c r="S54" s="58">
        <v>2039</v>
      </c>
      <c r="T54" s="58">
        <v>2040</v>
      </c>
      <c r="V54" s="58" t="s">
        <v>4</v>
      </c>
    </row>
    <row r="55" spans="1:22" s="56" customFormat="1" hidden="1" x14ac:dyDescent="0.25">
      <c r="A55" s="56" t="s">
        <v>149</v>
      </c>
      <c r="B55" s="56" t="s">
        <v>2</v>
      </c>
      <c r="C55" s="61">
        <v>90.91</v>
      </c>
      <c r="D55" s="61">
        <v>97.982125939903014</v>
      </c>
      <c r="E55" s="61">
        <v>99.30175543400118</v>
      </c>
      <c r="F55" s="61">
        <v>99.882659792996847</v>
      </c>
      <c r="G55" s="61">
        <v>100.68999666712223</v>
      </c>
      <c r="H55" s="61">
        <v>102.272003003404</v>
      </c>
      <c r="I55" s="61">
        <v>104.9293232070997</v>
      </c>
      <c r="J55" s="61">
        <v>107.22734153255382</v>
      </c>
      <c r="K55" s="61">
        <v>109.11010399138674</v>
      </c>
      <c r="L55" s="61">
        <v>111.0305216993963</v>
      </c>
      <c r="M55" s="61">
        <v>112.98934776156604</v>
      </c>
      <c r="N55" s="61">
        <v>114.98735034497919</v>
      </c>
      <c r="O55" s="61">
        <v>117.0253129800606</v>
      </c>
      <c r="P55" s="61">
        <v>119.10403486784365</v>
      </c>
      <c r="Q55" s="61">
        <v>121.22433119338234</v>
      </c>
      <c r="R55" s="61">
        <v>123.38703344543181</v>
      </c>
      <c r="S55" s="61">
        <v>125.59298974252228</v>
      </c>
      <c r="T55" s="61">
        <v>127.84306516555456</v>
      </c>
      <c r="V55" s="56" t="s">
        <v>150</v>
      </c>
    </row>
    <row r="56" spans="1:22" s="56" customFormat="1" hidden="1" x14ac:dyDescent="0.25">
      <c r="A56" s="59" t="s">
        <v>159</v>
      </c>
      <c r="B56" s="56" t="s">
        <v>1</v>
      </c>
      <c r="C56" s="61">
        <v>90.91</v>
      </c>
      <c r="D56" s="61">
        <v>94.283773806356592</v>
      </c>
      <c r="E56" s="61">
        <v>95.828520386844573</v>
      </c>
      <c r="F56" s="61">
        <v>96.709580861026609</v>
      </c>
      <c r="G56" s="61">
        <v>97.752754682798454</v>
      </c>
      <c r="H56" s="61">
        <v>99.409800047876772</v>
      </c>
      <c r="I56" s="61">
        <v>101.98645329561616</v>
      </c>
      <c r="J56" s="61">
        <v>104.20675262695953</v>
      </c>
      <c r="K56" s="61">
        <v>106.08951508579244</v>
      </c>
      <c r="L56" s="61">
        <v>108.00993279380199</v>
      </c>
      <c r="M56" s="61">
        <v>109.96875885597176</v>
      </c>
      <c r="N56" s="61">
        <v>111.96676143938491</v>
      </c>
      <c r="O56" s="61">
        <v>114.0047240744663</v>
      </c>
      <c r="P56" s="61">
        <v>116.08344596224934</v>
      </c>
      <c r="Q56" s="61">
        <v>118.20374228778806</v>
      </c>
      <c r="R56" s="61">
        <v>120.36644453983753</v>
      </c>
      <c r="S56" s="61">
        <v>122.57240083692801</v>
      </c>
      <c r="T56" s="61">
        <v>124.82247625996025</v>
      </c>
      <c r="V56" s="56" t="s">
        <v>150</v>
      </c>
    </row>
    <row r="57" spans="1:22" s="56" customFormat="1" hidden="1" x14ac:dyDescent="0.25">
      <c r="B57" s="56" t="s">
        <v>0</v>
      </c>
      <c r="C57" s="61">
        <v>90.91</v>
      </c>
      <c r="D57" s="61">
        <v>90.585421672810227</v>
      </c>
      <c r="E57" s="61">
        <v>92.355285339687967</v>
      </c>
      <c r="F57" s="61">
        <v>93.536501929056385</v>
      </c>
      <c r="G57" s="61">
        <v>94.815512698474677</v>
      </c>
      <c r="H57" s="61">
        <v>96.547597092349619</v>
      </c>
      <c r="I57" s="61">
        <v>99.043583384132646</v>
      </c>
      <c r="J57" s="61">
        <v>101.18616372136523</v>
      </c>
      <c r="K57" s="61">
        <v>103.06892618019815</v>
      </c>
      <c r="L57" s="61">
        <v>104.98934388820771</v>
      </c>
      <c r="M57" s="61">
        <v>106.94816995037746</v>
      </c>
      <c r="N57" s="61">
        <v>108.9461725337906</v>
      </c>
      <c r="O57" s="61">
        <v>110.98413516887203</v>
      </c>
      <c r="P57" s="61">
        <v>113.06285705665503</v>
      </c>
      <c r="Q57" s="61">
        <v>115.18315338219375</v>
      </c>
      <c r="R57" s="61">
        <v>117.34585563424324</v>
      </c>
      <c r="S57" s="61">
        <v>119.5518119313337</v>
      </c>
      <c r="T57" s="61">
        <v>121.80188735436599</v>
      </c>
      <c r="V57" s="56" t="s">
        <v>150</v>
      </c>
    </row>
    <row r="58" spans="1:22" hidden="1" x14ac:dyDescent="0.25"/>
    <row r="60" spans="1:22" x14ac:dyDescent="0.25">
      <c r="A60" s="4" t="s">
        <v>65</v>
      </c>
    </row>
    <row r="61" spans="1:22" x14ac:dyDescent="0.25">
      <c r="C61" s="15">
        <v>2023</v>
      </c>
      <c r="D61" s="15">
        <v>2024</v>
      </c>
      <c r="E61" s="15">
        <v>2025</v>
      </c>
      <c r="F61" s="15">
        <v>2026</v>
      </c>
      <c r="G61" s="15">
        <v>2027</v>
      </c>
      <c r="H61" s="15">
        <v>2028</v>
      </c>
      <c r="I61" s="15">
        <v>2029</v>
      </c>
      <c r="J61" s="15">
        <v>2030</v>
      </c>
      <c r="K61" s="15">
        <v>2031</v>
      </c>
      <c r="L61" s="15">
        <v>2032</v>
      </c>
      <c r="M61" s="15">
        <v>2033</v>
      </c>
      <c r="N61" s="15">
        <v>2034</v>
      </c>
      <c r="O61" s="15">
        <v>2035</v>
      </c>
      <c r="P61" s="15">
        <v>2036</v>
      </c>
      <c r="Q61" s="15">
        <v>2037</v>
      </c>
      <c r="R61" s="15">
        <v>2038</v>
      </c>
      <c r="S61" s="15">
        <v>2039</v>
      </c>
      <c r="T61" s="15">
        <v>2040</v>
      </c>
      <c r="V61" s="3" t="s">
        <v>4</v>
      </c>
    </row>
    <row r="62" spans="1:22" x14ac:dyDescent="0.25">
      <c r="A62" s="4" t="s">
        <v>60</v>
      </c>
      <c r="C62" s="7">
        <v>1</v>
      </c>
      <c r="D62" s="7">
        <v>1</v>
      </c>
      <c r="E62" s="7">
        <v>0.64</v>
      </c>
      <c r="F62" s="7">
        <v>0.64</v>
      </c>
      <c r="G62" s="7">
        <v>0.55000000000000004</v>
      </c>
      <c r="H62" s="7">
        <v>0.46</v>
      </c>
      <c r="I62" s="7">
        <v>0.37</v>
      </c>
      <c r="J62" s="7">
        <v>0.28000000000000003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  <c r="V62" t="s">
        <v>241</v>
      </c>
    </row>
    <row r="63" spans="1:22" x14ac:dyDescent="0.25"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</row>
    <row r="64" spans="1:22" x14ac:dyDescent="0.25">
      <c r="C64" s="15">
        <v>2023</v>
      </c>
      <c r="D64" s="15">
        <v>2024</v>
      </c>
      <c r="E64" s="15">
        <v>2025</v>
      </c>
      <c r="F64" s="15">
        <v>2026</v>
      </c>
      <c r="G64" s="15">
        <v>2027</v>
      </c>
      <c r="H64" s="15">
        <v>2028</v>
      </c>
      <c r="I64" s="15">
        <v>2029</v>
      </c>
      <c r="J64" s="15">
        <v>2030</v>
      </c>
      <c r="K64" s="15">
        <v>2031</v>
      </c>
      <c r="L64" s="15">
        <v>2032</v>
      </c>
      <c r="M64" s="15">
        <v>2033</v>
      </c>
      <c r="N64" s="15">
        <v>2034</v>
      </c>
      <c r="O64" s="15">
        <v>2035</v>
      </c>
      <c r="P64" s="15">
        <v>2036</v>
      </c>
      <c r="Q64" s="15">
        <v>2037</v>
      </c>
      <c r="R64" s="15">
        <v>2038</v>
      </c>
      <c r="S64" s="15">
        <v>2039</v>
      </c>
      <c r="T64" s="15">
        <v>2040</v>
      </c>
      <c r="V64" s="3" t="s">
        <v>4</v>
      </c>
    </row>
    <row r="65" spans="1:22" x14ac:dyDescent="0.25">
      <c r="A65" s="4" t="s">
        <v>61</v>
      </c>
      <c r="B65" t="s">
        <v>2</v>
      </c>
      <c r="C65" s="2">
        <v>0.115</v>
      </c>
      <c r="D65" s="2">
        <f>C65</f>
        <v>0.115</v>
      </c>
      <c r="E65" s="2">
        <f>E22*80%</f>
        <v>0.15883956674477739</v>
      </c>
      <c r="F65" s="2">
        <f t="shared" ref="F65:T65" si="0">F22*80%</f>
        <v>0.14526001829250365</v>
      </c>
      <c r="G65" s="2">
        <f t="shared" si="0"/>
        <v>0.1376472411298654</v>
      </c>
      <c r="H65" s="2">
        <f t="shared" si="0"/>
        <v>0.12950294123740322</v>
      </c>
      <c r="I65" s="2">
        <f t="shared" si="0"/>
        <v>0.13721627404919756</v>
      </c>
      <c r="J65" s="2">
        <f t="shared" si="0"/>
        <v>0.14084005325639792</v>
      </c>
      <c r="K65" s="2">
        <f t="shared" si="0"/>
        <v>0.14084005325639792</v>
      </c>
      <c r="L65" s="2">
        <f t="shared" si="0"/>
        <v>0.14084005325639792</v>
      </c>
      <c r="M65" s="2">
        <f t="shared" si="0"/>
        <v>0.14084005325639792</v>
      </c>
      <c r="N65" s="2">
        <f t="shared" si="0"/>
        <v>0.14084005325639792</v>
      </c>
      <c r="O65" s="2">
        <f t="shared" si="0"/>
        <v>0.14084005325639792</v>
      </c>
      <c r="P65" s="2">
        <f t="shared" si="0"/>
        <v>0.14084005325639792</v>
      </c>
      <c r="Q65" s="2">
        <f t="shared" si="0"/>
        <v>0.14084005325639792</v>
      </c>
      <c r="R65" s="2">
        <f t="shared" si="0"/>
        <v>0.14084005325639792</v>
      </c>
      <c r="S65" s="2">
        <f t="shared" si="0"/>
        <v>0.14084005325639792</v>
      </c>
      <c r="T65" s="2">
        <f t="shared" si="0"/>
        <v>0.14084005325639792</v>
      </c>
      <c r="V65" t="s">
        <v>242</v>
      </c>
    </row>
    <row r="66" spans="1:22" x14ac:dyDescent="0.25">
      <c r="B66" t="s">
        <v>1</v>
      </c>
      <c r="C66" s="2">
        <v>0.115</v>
      </c>
      <c r="D66" s="2">
        <f>C66</f>
        <v>0.115</v>
      </c>
      <c r="E66" s="2">
        <f>E23*80%</f>
        <v>0.12218428211136721</v>
      </c>
      <c r="F66" s="2">
        <f t="shared" ref="F66:T66" si="1">F23*80%</f>
        <v>0.11173847560961821</v>
      </c>
      <c r="G66" s="2">
        <f t="shared" si="1"/>
        <v>0.10588249317681953</v>
      </c>
      <c r="H66" s="2">
        <f t="shared" si="1"/>
        <v>9.961764710569479E-2</v>
      </c>
      <c r="I66" s="2">
        <f t="shared" si="1"/>
        <v>0.1055509800378443</v>
      </c>
      <c r="J66" s="2">
        <f t="shared" si="1"/>
        <v>0.10833850250492148</v>
      </c>
      <c r="K66" s="2">
        <f t="shared" si="1"/>
        <v>0.10833850250492148</v>
      </c>
      <c r="L66" s="2">
        <f t="shared" si="1"/>
        <v>0.10833850250492148</v>
      </c>
      <c r="M66" s="2">
        <f t="shared" si="1"/>
        <v>0.10833850250492148</v>
      </c>
      <c r="N66" s="2">
        <f t="shared" si="1"/>
        <v>0.10833850250492148</v>
      </c>
      <c r="O66" s="2">
        <f t="shared" si="1"/>
        <v>0.10833850250492148</v>
      </c>
      <c r="P66" s="2">
        <f t="shared" si="1"/>
        <v>0.10833850250492148</v>
      </c>
      <c r="Q66" s="2">
        <f t="shared" si="1"/>
        <v>0.10833850250492148</v>
      </c>
      <c r="R66" s="2">
        <f t="shared" si="1"/>
        <v>0.10833850250492148</v>
      </c>
      <c r="S66" s="2">
        <f t="shared" si="1"/>
        <v>0.10833850250492148</v>
      </c>
      <c r="T66" s="2">
        <f t="shared" si="1"/>
        <v>0.10833850250492148</v>
      </c>
      <c r="V66" t="s">
        <v>242</v>
      </c>
    </row>
    <row r="67" spans="1:22" x14ac:dyDescent="0.25">
      <c r="B67" t="s">
        <v>0</v>
      </c>
      <c r="C67" s="2">
        <v>0.115</v>
      </c>
      <c r="D67" s="2">
        <f>C67</f>
        <v>0.115</v>
      </c>
      <c r="E67" s="2">
        <f>E24*80%</f>
        <v>8.5528997477957058E-2</v>
      </c>
      <c r="F67" s="2">
        <f t="shared" ref="F67:T67" si="2">F24*80%</f>
        <v>7.8216932926732735E-2</v>
      </c>
      <c r="G67" s="2">
        <f t="shared" si="2"/>
        <v>7.4117745223773665E-2</v>
      </c>
      <c r="H67" s="2">
        <f t="shared" si="2"/>
        <v>6.9732352973986361E-2</v>
      </c>
      <c r="I67" s="2">
        <f t="shared" si="2"/>
        <v>7.3885686026490982E-2</v>
      </c>
      <c r="J67" s="2">
        <f t="shared" si="2"/>
        <v>7.5836951753445028E-2</v>
      </c>
      <c r="K67" s="2">
        <f t="shared" si="2"/>
        <v>7.5836951753445028E-2</v>
      </c>
      <c r="L67" s="2">
        <f t="shared" si="2"/>
        <v>7.5836951753445028E-2</v>
      </c>
      <c r="M67" s="2">
        <f t="shared" si="2"/>
        <v>7.5836951753445028E-2</v>
      </c>
      <c r="N67" s="2">
        <f t="shared" si="2"/>
        <v>7.5836951753445028E-2</v>
      </c>
      <c r="O67" s="2">
        <f t="shared" si="2"/>
        <v>7.5836951753445028E-2</v>
      </c>
      <c r="P67" s="2">
        <f t="shared" si="2"/>
        <v>7.5836951753445028E-2</v>
      </c>
      <c r="Q67" s="2">
        <f t="shared" si="2"/>
        <v>7.5836951753445028E-2</v>
      </c>
      <c r="R67" s="2">
        <f t="shared" si="2"/>
        <v>7.5836951753445028E-2</v>
      </c>
      <c r="S67" s="2">
        <f t="shared" si="2"/>
        <v>7.5836951753445028E-2</v>
      </c>
      <c r="T67" s="2">
        <f t="shared" si="2"/>
        <v>7.5836951753445028E-2</v>
      </c>
      <c r="V67" t="s">
        <v>242</v>
      </c>
    </row>
    <row r="68" spans="1:22" x14ac:dyDescent="0.25">
      <c r="B68" t="s">
        <v>226</v>
      </c>
      <c r="C68" s="2">
        <f>C65</f>
        <v>0.115</v>
      </c>
      <c r="D68" s="2">
        <f t="shared" ref="D68:T68" si="3">D65</f>
        <v>0.115</v>
      </c>
      <c r="E68" s="2">
        <f t="shared" si="3"/>
        <v>0.15883956674477739</v>
      </c>
      <c r="F68" s="2">
        <f t="shared" si="3"/>
        <v>0.14526001829250365</v>
      </c>
      <c r="G68" s="2">
        <f t="shared" si="3"/>
        <v>0.1376472411298654</v>
      </c>
      <c r="H68" s="2">
        <f t="shared" si="3"/>
        <v>0.12950294123740322</v>
      </c>
      <c r="I68" s="2">
        <f t="shared" si="3"/>
        <v>0.13721627404919756</v>
      </c>
      <c r="J68" s="2">
        <f t="shared" si="3"/>
        <v>0.14084005325639792</v>
      </c>
      <c r="K68" s="2">
        <f t="shared" si="3"/>
        <v>0.14084005325639792</v>
      </c>
      <c r="L68" s="2">
        <f t="shared" si="3"/>
        <v>0.14084005325639792</v>
      </c>
      <c r="M68" s="2">
        <f t="shared" si="3"/>
        <v>0.14084005325639792</v>
      </c>
      <c r="N68" s="2">
        <f t="shared" si="3"/>
        <v>0.14084005325639792</v>
      </c>
      <c r="O68" s="2">
        <f t="shared" si="3"/>
        <v>0.14084005325639792</v>
      </c>
      <c r="P68" s="2">
        <f t="shared" si="3"/>
        <v>0.14084005325639792</v>
      </c>
      <c r="Q68" s="2">
        <f t="shared" si="3"/>
        <v>0.14084005325639792</v>
      </c>
      <c r="R68" s="2">
        <f t="shared" si="3"/>
        <v>0.14084005325639792</v>
      </c>
      <c r="S68" s="2">
        <f t="shared" si="3"/>
        <v>0.14084005325639792</v>
      </c>
      <c r="T68" s="2">
        <f t="shared" si="3"/>
        <v>0.14084005325639792</v>
      </c>
      <c r="V68" t="s">
        <v>243</v>
      </c>
    </row>
    <row r="72" spans="1:22" x14ac:dyDescent="0.25">
      <c r="A72" s="4" t="s">
        <v>67</v>
      </c>
    </row>
    <row r="73" spans="1:22" x14ac:dyDescent="0.25">
      <c r="A73" s="4" t="s">
        <v>78</v>
      </c>
    </row>
    <row r="74" spans="1:22" x14ac:dyDescent="0.25">
      <c r="C74" s="15">
        <v>2023</v>
      </c>
      <c r="D74" s="15">
        <v>2024</v>
      </c>
      <c r="E74" s="15">
        <v>2025</v>
      </c>
      <c r="F74" s="15">
        <v>2026</v>
      </c>
      <c r="G74" s="15">
        <v>2027</v>
      </c>
      <c r="H74" s="15">
        <v>2028</v>
      </c>
      <c r="I74" s="15">
        <v>2029</v>
      </c>
      <c r="J74" s="15">
        <v>2030</v>
      </c>
      <c r="K74" s="15">
        <v>2031</v>
      </c>
      <c r="L74" s="15">
        <v>2032</v>
      </c>
      <c r="M74" s="15">
        <v>2033</v>
      </c>
      <c r="N74" s="15">
        <v>2034</v>
      </c>
      <c r="O74" s="15">
        <v>2035</v>
      </c>
      <c r="P74" s="15">
        <v>2036</v>
      </c>
      <c r="Q74" s="15">
        <v>2037</v>
      </c>
      <c r="R74" s="15">
        <v>2038</v>
      </c>
      <c r="S74" s="15">
        <v>2039</v>
      </c>
      <c r="T74" s="15">
        <v>2040</v>
      </c>
    </row>
    <row r="75" spans="1:22" x14ac:dyDescent="0.25">
      <c r="A75" t="s">
        <v>78</v>
      </c>
      <c r="C75" s="24"/>
      <c r="D75" s="20">
        <v>0.02</v>
      </c>
      <c r="E75" s="20">
        <v>0.02</v>
      </c>
      <c r="F75" s="20">
        <v>0.02</v>
      </c>
      <c r="G75" s="20">
        <v>0.02</v>
      </c>
      <c r="H75" s="20">
        <v>0.02</v>
      </c>
      <c r="I75" s="20">
        <v>0.02</v>
      </c>
      <c r="J75" s="20">
        <v>0.02</v>
      </c>
      <c r="K75" s="20">
        <v>0.02</v>
      </c>
      <c r="L75" s="20">
        <v>0.02</v>
      </c>
      <c r="M75" s="20">
        <v>0.02</v>
      </c>
      <c r="N75" s="20">
        <v>0.02</v>
      </c>
      <c r="O75" s="20">
        <v>0.02</v>
      </c>
      <c r="P75" s="20">
        <v>0.02</v>
      </c>
      <c r="Q75" s="20">
        <v>0.02</v>
      </c>
      <c r="R75" s="20">
        <v>0.02</v>
      </c>
      <c r="S75" s="20">
        <v>0.02</v>
      </c>
      <c r="T75" s="20">
        <v>0.02</v>
      </c>
    </row>
    <row r="76" spans="1:22" x14ac:dyDescent="0.25">
      <c r="A76" t="s">
        <v>68</v>
      </c>
      <c r="C76" s="44">
        <f>0.208*365</f>
        <v>75.92</v>
      </c>
      <c r="D76" s="45">
        <f>C76*(1+D75)</f>
        <v>77.438400000000001</v>
      </c>
      <c r="E76" s="45">
        <f t="shared" ref="E76:T76" si="4">D76*(1+E75)</f>
        <v>78.987167999999997</v>
      </c>
      <c r="F76" s="45">
        <f t="shared" si="4"/>
        <v>80.566911359999992</v>
      </c>
      <c r="G76" s="45">
        <f t="shared" si="4"/>
        <v>82.1782495872</v>
      </c>
      <c r="H76" s="45">
        <f t="shared" si="4"/>
        <v>83.821814578944</v>
      </c>
      <c r="I76" s="45">
        <f t="shared" si="4"/>
        <v>85.498250870522881</v>
      </c>
      <c r="J76" s="45">
        <f t="shared" si="4"/>
        <v>87.208215887933335</v>
      </c>
      <c r="K76" s="45">
        <f t="shared" si="4"/>
        <v>88.952380205692009</v>
      </c>
      <c r="L76" s="45">
        <f t="shared" si="4"/>
        <v>90.731427809805851</v>
      </c>
      <c r="M76" s="45">
        <f t="shared" si="4"/>
        <v>92.546056366001963</v>
      </c>
      <c r="N76" s="45">
        <f t="shared" si="4"/>
        <v>94.396977493321998</v>
      </c>
      <c r="O76" s="45">
        <f t="shared" si="4"/>
        <v>96.284917043188443</v>
      </c>
      <c r="P76" s="45">
        <f t="shared" si="4"/>
        <v>98.210615384052218</v>
      </c>
      <c r="Q76" s="45">
        <f t="shared" si="4"/>
        <v>100.17482769173327</v>
      </c>
      <c r="R76" s="45">
        <f t="shared" si="4"/>
        <v>102.17832424556794</v>
      </c>
      <c r="S76" s="45">
        <f t="shared" si="4"/>
        <v>104.2218907304793</v>
      </c>
      <c r="T76" s="45">
        <f t="shared" si="4"/>
        <v>106.30632854508889</v>
      </c>
      <c r="U76" t="s">
        <v>87</v>
      </c>
    </row>
    <row r="77" spans="1:22" x14ac:dyDescent="0.25">
      <c r="A77" t="s">
        <v>66</v>
      </c>
      <c r="C77" s="44">
        <f>0.567*365</f>
        <v>206.95499999999998</v>
      </c>
      <c r="D77" s="45">
        <f>C77*(1+D75)</f>
        <v>211.0941</v>
      </c>
      <c r="E77" s="45">
        <f t="shared" ref="E77:T77" si="5">D77*(1+E75)</f>
        <v>215.31598199999999</v>
      </c>
      <c r="F77" s="45">
        <f t="shared" si="5"/>
        <v>219.62230163999999</v>
      </c>
      <c r="G77" s="45">
        <f t="shared" si="5"/>
        <v>224.01474767279998</v>
      </c>
      <c r="H77" s="45">
        <f t="shared" si="5"/>
        <v>228.49504262625598</v>
      </c>
      <c r="I77" s="45">
        <f t="shared" si="5"/>
        <v>233.06494347878112</v>
      </c>
      <c r="J77" s="45">
        <f t="shared" si="5"/>
        <v>237.72624234835675</v>
      </c>
      <c r="K77" s="45">
        <f t="shared" si="5"/>
        <v>242.48076719532389</v>
      </c>
      <c r="L77" s="45">
        <f t="shared" si="5"/>
        <v>247.33038253923038</v>
      </c>
      <c r="M77" s="45">
        <f t="shared" si="5"/>
        <v>252.276990190015</v>
      </c>
      <c r="N77" s="45">
        <f t="shared" si="5"/>
        <v>257.32252999381529</v>
      </c>
      <c r="O77" s="45">
        <f t="shared" si="5"/>
        <v>262.46898059369158</v>
      </c>
      <c r="P77" s="45">
        <f t="shared" si="5"/>
        <v>267.71836020556543</v>
      </c>
      <c r="Q77" s="45">
        <f t="shared" si="5"/>
        <v>273.07272740967676</v>
      </c>
      <c r="R77" s="45">
        <f t="shared" si="5"/>
        <v>278.53418195787032</v>
      </c>
      <c r="S77" s="45">
        <f t="shared" si="5"/>
        <v>284.10486559702775</v>
      </c>
      <c r="T77" s="45">
        <f t="shared" si="5"/>
        <v>289.78696290896829</v>
      </c>
      <c r="U77" t="s">
        <v>88</v>
      </c>
    </row>
    <row r="78" spans="1:22" x14ac:dyDescent="0.25">
      <c r="A78" t="s">
        <v>69</v>
      </c>
      <c r="C78" s="45">
        <f>SUM(C76:C77)</f>
        <v>282.875</v>
      </c>
      <c r="D78" s="45">
        <f>SUM(D76:D77)</f>
        <v>288.53250000000003</v>
      </c>
      <c r="E78" s="45">
        <f t="shared" ref="E78:T78" si="6">SUM(E76:E77)</f>
        <v>294.30314999999996</v>
      </c>
      <c r="F78" s="45">
        <f t="shared" si="6"/>
        <v>300.189213</v>
      </c>
      <c r="G78" s="45">
        <f t="shared" si="6"/>
        <v>306.19299725999997</v>
      </c>
      <c r="H78" s="45">
        <f t="shared" si="6"/>
        <v>312.31685720519999</v>
      </c>
      <c r="I78" s="45">
        <f t="shared" si="6"/>
        <v>318.56319434930401</v>
      </c>
      <c r="J78" s="45">
        <f t="shared" si="6"/>
        <v>324.93445823629008</v>
      </c>
      <c r="K78" s="45">
        <f t="shared" si="6"/>
        <v>331.4331474010159</v>
      </c>
      <c r="L78" s="45">
        <f t="shared" si="6"/>
        <v>338.06181034903625</v>
      </c>
      <c r="M78" s="45">
        <f t="shared" si="6"/>
        <v>344.82304655601695</v>
      </c>
      <c r="N78" s="45">
        <f t="shared" si="6"/>
        <v>351.71950748713732</v>
      </c>
      <c r="O78" s="45">
        <f t="shared" si="6"/>
        <v>358.75389763688003</v>
      </c>
      <c r="P78" s="45">
        <f t="shared" si="6"/>
        <v>365.92897558961766</v>
      </c>
      <c r="Q78" s="45">
        <f t="shared" si="6"/>
        <v>373.24755510141006</v>
      </c>
      <c r="R78" s="45">
        <f t="shared" si="6"/>
        <v>380.71250620343824</v>
      </c>
      <c r="S78" s="45">
        <f t="shared" si="6"/>
        <v>388.32675632750704</v>
      </c>
      <c r="T78" s="45">
        <f t="shared" si="6"/>
        <v>396.09329145405718</v>
      </c>
    </row>
    <row r="80" spans="1:22" hidden="1" x14ac:dyDescent="0.25">
      <c r="A80" s="4" t="s">
        <v>152</v>
      </c>
    </row>
    <row r="81" spans="1:5" hidden="1" x14ac:dyDescent="0.25">
      <c r="B81" t="s">
        <v>5</v>
      </c>
      <c r="C81" t="s">
        <v>3</v>
      </c>
    </row>
    <row r="82" spans="1:5" hidden="1" x14ac:dyDescent="0.25">
      <c r="A82" t="s">
        <v>28</v>
      </c>
      <c r="B82">
        <v>1200</v>
      </c>
      <c r="C82">
        <v>2900</v>
      </c>
    </row>
    <row r="83" spans="1:5" hidden="1" x14ac:dyDescent="0.25">
      <c r="A83" t="s">
        <v>29</v>
      </c>
      <c r="B83" s="2">
        <v>1.45</v>
      </c>
      <c r="C83" s="2">
        <v>0.4</v>
      </c>
    </row>
    <row r="84" spans="1:5" hidden="1" x14ac:dyDescent="0.25">
      <c r="A84" t="s">
        <v>21</v>
      </c>
      <c r="C84" s="9">
        <f>C83/(B83/9.5)</f>
        <v>2.6206896551724137</v>
      </c>
    </row>
    <row r="85" spans="1:5" hidden="1" x14ac:dyDescent="0.25">
      <c r="C85" s="9"/>
    </row>
    <row r="86" spans="1:5" hidden="1" x14ac:dyDescent="0.25">
      <c r="C86" s="9"/>
    </row>
    <row r="87" spans="1:5" hidden="1" x14ac:dyDescent="0.25">
      <c r="A87" s="4" t="s">
        <v>153</v>
      </c>
    </row>
    <row r="88" spans="1:5" hidden="1" x14ac:dyDescent="0.25">
      <c r="A88" t="s">
        <v>80</v>
      </c>
      <c r="C88">
        <v>37</v>
      </c>
      <c r="E88" t="s">
        <v>81</v>
      </c>
    </row>
    <row r="89" spans="1:5" hidden="1" x14ac:dyDescent="0.25">
      <c r="A89" t="s">
        <v>84</v>
      </c>
      <c r="C89" s="6">
        <v>39.158353379774148</v>
      </c>
      <c r="E89" t="s">
        <v>81</v>
      </c>
    </row>
    <row r="90" spans="1:5" hidden="1" x14ac:dyDescent="0.25">
      <c r="A90" t="s">
        <v>85</v>
      </c>
      <c r="C90" s="6">
        <v>47.381607589526716</v>
      </c>
      <c r="E90" t="s">
        <v>81</v>
      </c>
    </row>
    <row r="93" spans="1:5" x14ac:dyDescent="0.25">
      <c r="B93" s="8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EEED9-D495-4A31-8978-7093C674E7FD}">
  <dimension ref="A1:W78"/>
  <sheetViews>
    <sheetView topLeftCell="A37" workbookViewId="0">
      <selection activeCell="F34" sqref="F34"/>
    </sheetView>
  </sheetViews>
  <sheetFormatPr defaultRowHeight="15" x14ac:dyDescent="0.25"/>
  <cols>
    <col min="1" max="1" width="32.5703125" customWidth="1"/>
    <col min="2" max="2" width="15.140625" customWidth="1"/>
    <col min="3" max="3" width="10.7109375" bestFit="1" customWidth="1"/>
    <col min="4" max="4" width="10.5703125" bestFit="1" customWidth="1"/>
    <col min="6" max="6" width="18.42578125" customWidth="1"/>
  </cols>
  <sheetData>
    <row r="1" spans="1:23" x14ac:dyDescent="0.25">
      <c r="A1" s="4" t="s">
        <v>126</v>
      </c>
      <c r="W1" s="4" t="s">
        <v>178</v>
      </c>
    </row>
    <row r="2" spans="1:23" x14ac:dyDescent="0.25">
      <c r="A2" t="s">
        <v>89</v>
      </c>
      <c r="B2" s="26">
        <v>0.02</v>
      </c>
      <c r="I2" t="s">
        <v>90</v>
      </c>
      <c r="W2" t="s">
        <v>131</v>
      </c>
    </row>
    <row r="3" spans="1:23" x14ac:dyDescent="0.25">
      <c r="W3" t="s">
        <v>130</v>
      </c>
    </row>
    <row r="4" spans="1:23" x14ac:dyDescent="0.25">
      <c r="A4" s="4" t="s">
        <v>133</v>
      </c>
    </row>
    <row r="5" spans="1:23" x14ac:dyDescent="0.25">
      <c r="A5" t="s">
        <v>33</v>
      </c>
      <c r="B5" s="8">
        <f>(135+126+176.32+135+112+150+24)/6</f>
        <v>143.05333333333331</v>
      </c>
      <c r="C5" t="s">
        <v>36</v>
      </c>
      <c r="I5" t="s">
        <v>154</v>
      </c>
    </row>
    <row r="6" spans="1:23" x14ac:dyDescent="0.25">
      <c r="A6" t="s">
        <v>37</v>
      </c>
      <c r="B6" s="8">
        <v>1600</v>
      </c>
      <c r="C6" t="s">
        <v>39</v>
      </c>
      <c r="I6" s="31" t="s">
        <v>48</v>
      </c>
    </row>
    <row r="7" spans="1:23" x14ac:dyDescent="0.25">
      <c r="A7" t="s">
        <v>32</v>
      </c>
      <c r="B7">
        <f>'Business case'!C6</f>
        <v>15</v>
      </c>
      <c r="C7" t="s">
        <v>38</v>
      </c>
    </row>
    <row r="9" spans="1:23" x14ac:dyDescent="0.25">
      <c r="A9" s="4" t="s">
        <v>125</v>
      </c>
    </row>
    <row r="10" spans="1:23" x14ac:dyDescent="0.25">
      <c r="A10" t="s">
        <v>49</v>
      </c>
    </row>
    <row r="11" spans="1:23" x14ac:dyDescent="0.25">
      <c r="B11" s="39" t="s">
        <v>140</v>
      </c>
      <c r="C11" s="39" t="s">
        <v>136</v>
      </c>
    </row>
    <row r="12" spans="1:23" x14ac:dyDescent="0.25">
      <c r="A12" t="s">
        <v>137</v>
      </c>
      <c r="B12" s="10">
        <v>0</v>
      </c>
      <c r="C12" s="2">
        <v>1.39</v>
      </c>
      <c r="I12" t="s">
        <v>141</v>
      </c>
    </row>
    <row r="13" spans="1:23" x14ac:dyDescent="0.25">
      <c r="A13" s="38" t="s">
        <v>139</v>
      </c>
      <c r="B13" s="10">
        <f>8*370*0.9</f>
        <v>2664</v>
      </c>
      <c r="C13" s="2">
        <v>1.2</v>
      </c>
      <c r="I13" t="s">
        <v>141</v>
      </c>
    </row>
    <row r="14" spans="1:23" x14ac:dyDescent="0.25">
      <c r="A14" s="38" t="s">
        <v>138</v>
      </c>
      <c r="B14" s="10">
        <f>14*370*0.9</f>
        <v>4662</v>
      </c>
      <c r="C14" s="2">
        <v>1.01</v>
      </c>
      <c r="I14" t="s">
        <v>141</v>
      </c>
    </row>
    <row r="15" spans="1:23" x14ac:dyDescent="0.25">
      <c r="A15" s="38"/>
      <c r="C15" s="2"/>
    </row>
    <row r="16" spans="1:23" x14ac:dyDescent="0.25">
      <c r="A16" t="s">
        <v>52</v>
      </c>
      <c r="B16">
        <v>15</v>
      </c>
      <c r="C16" t="s">
        <v>38</v>
      </c>
    </row>
    <row r="17" spans="1:9" x14ac:dyDescent="0.25">
      <c r="A17" t="s">
        <v>50</v>
      </c>
      <c r="B17" s="7">
        <v>0.17</v>
      </c>
      <c r="I17" t="s">
        <v>155</v>
      </c>
    </row>
    <row r="18" spans="1:9" x14ac:dyDescent="0.25">
      <c r="A18" t="s">
        <v>51</v>
      </c>
      <c r="B18" s="7">
        <v>0.4</v>
      </c>
      <c r="I18" t="s">
        <v>155</v>
      </c>
    </row>
    <row r="19" spans="1:9" x14ac:dyDescent="0.25">
      <c r="A19" t="s">
        <v>93</v>
      </c>
      <c r="B19" s="26">
        <v>-7.0000000000000001E-3</v>
      </c>
      <c r="I19" t="s">
        <v>94</v>
      </c>
    </row>
    <row r="20" spans="1:9" x14ac:dyDescent="0.25">
      <c r="A20" t="s">
        <v>95</v>
      </c>
      <c r="B20" s="8">
        <v>25</v>
      </c>
      <c r="I20" t="s">
        <v>96</v>
      </c>
    </row>
    <row r="22" spans="1:9" x14ac:dyDescent="0.25">
      <c r="A22" s="4" t="s">
        <v>170</v>
      </c>
    </row>
    <row r="23" spans="1:9" x14ac:dyDescent="0.25">
      <c r="A23" t="s">
        <v>167</v>
      </c>
      <c r="B23">
        <v>35</v>
      </c>
      <c r="C23" t="s">
        <v>168</v>
      </c>
      <c r="I23" t="s">
        <v>171</v>
      </c>
    </row>
    <row r="24" spans="1:9" x14ac:dyDescent="0.25">
      <c r="A24" t="s">
        <v>169</v>
      </c>
      <c r="B24">
        <v>45</v>
      </c>
      <c r="C24" s="7" t="s">
        <v>168</v>
      </c>
      <c r="I24" t="s">
        <v>171</v>
      </c>
    </row>
    <row r="25" spans="1:9" x14ac:dyDescent="0.25">
      <c r="B25" s="39" t="s">
        <v>248</v>
      </c>
      <c r="C25" s="18" t="s">
        <v>72</v>
      </c>
    </row>
    <row r="26" spans="1:9" x14ac:dyDescent="0.25">
      <c r="A26" t="s">
        <v>265</v>
      </c>
      <c r="B26" s="10">
        <v>0</v>
      </c>
      <c r="C26" s="7">
        <v>0.05</v>
      </c>
      <c r="I26" t="s">
        <v>272</v>
      </c>
    </row>
    <row r="27" spans="1:9" x14ac:dyDescent="0.25">
      <c r="B27" s="66">
        <v>2</v>
      </c>
      <c r="C27" s="25">
        <v>0.15</v>
      </c>
      <c r="E27" s="48"/>
      <c r="I27" t="s">
        <v>172</v>
      </c>
    </row>
    <row r="28" spans="1:9" x14ac:dyDescent="0.25">
      <c r="B28" s="10">
        <v>3</v>
      </c>
      <c r="C28" s="7">
        <v>0.3</v>
      </c>
      <c r="I28" s="65" t="s">
        <v>271</v>
      </c>
    </row>
    <row r="29" spans="1:9" x14ac:dyDescent="0.25">
      <c r="B29" s="10">
        <v>4</v>
      </c>
      <c r="C29" s="7">
        <v>0.4</v>
      </c>
      <c r="I29" s="65" t="s">
        <v>273</v>
      </c>
    </row>
    <row r="30" spans="1:9" x14ac:dyDescent="0.25">
      <c r="B30" s="10">
        <v>5</v>
      </c>
      <c r="C30" s="7">
        <v>0.5</v>
      </c>
      <c r="I30" s="65" t="s">
        <v>274</v>
      </c>
    </row>
    <row r="31" spans="1:9" x14ac:dyDescent="0.25">
      <c r="A31" t="s">
        <v>266</v>
      </c>
      <c r="B31" t="s">
        <v>267</v>
      </c>
      <c r="C31" t="s">
        <v>268</v>
      </c>
      <c r="D31" t="s">
        <v>72</v>
      </c>
    </row>
    <row r="32" spans="1:9" x14ac:dyDescent="0.25">
      <c r="B32" s="10">
        <v>0</v>
      </c>
      <c r="C32" s="10">
        <v>5</v>
      </c>
      <c r="D32" s="25">
        <v>0</v>
      </c>
      <c r="I32" s="71" t="s">
        <v>275</v>
      </c>
    </row>
    <row r="33" spans="1:9" x14ac:dyDescent="0.25">
      <c r="B33" s="10">
        <v>6</v>
      </c>
      <c r="C33" s="10">
        <v>10</v>
      </c>
      <c r="D33" s="7">
        <v>0.05</v>
      </c>
      <c r="I33" s="71" t="s">
        <v>275</v>
      </c>
    </row>
    <row r="34" spans="1:9" x14ac:dyDescent="0.25">
      <c r="B34" s="10">
        <v>11</v>
      </c>
      <c r="C34" s="10">
        <v>15</v>
      </c>
      <c r="D34" s="7">
        <v>0.05</v>
      </c>
      <c r="I34" s="71" t="s">
        <v>275</v>
      </c>
    </row>
    <row r="35" spans="1:9" x14ac:dyDescent="0.25">
      <c r="B35" s="10">
        <v>16</v>
      </c>
      <c r="C35" s="10">
        <v>25</v>
      </c>
      <c r="D35" s="7">
        <v>0.1</v>
      </c>
      <c r="I35" s="71" t="s">
        <v>275</v>
      </c>
    </row>
    <row r="36" spans="1:9" x14ac:dyDescent="0.25">
      <c r="B36" s="10">
        <v>26</v>
      </c>
      <c r="C36" s="10">
        <v>100</v>
      </c>
      <c r="D36" s="7">
        <v>0.15</v>
      </c>
      <c r="I36" s="71" t="s">
        <v>275</v>
      </c>
    </row>
    <row r="37" spans="1:9" x14ac:dyDescent="0.25">
      <c r="A37" t="s">
        <v>173</v>
      </c>
      <c r="B37" s="49">
        <f>35*1.21</f>
        <v>42.35</v>
      </c>
      <c r="C37" t="s">
        <v>174</v>
      </c>
      <c r="I37" t="s">
        <v>171</v>
      </c>
    </row>
    <row r="38" spans="1:9" x14ac:dyDescent="0.25">
      <c r="A38" t="s">
        <v>175</v>
      </c>
      <c r="B38" s="1">
        <v>5.5</v>
      </c>
      <c r="C38" t="s">
        <v>176</v>
      </c>
      <c r="I38" t="s">
        <v>171</v>
      </c>
    </row>
    <row r="39" spans="1:9" x14ac:dyDescent="0.25">
      <c r="A39" t="s">
        <v>175</v>
      </c>
      <c r="B39" s="1">
        <v>8.25</v>
      </c>
      <c r="C39" t="s">
        <v>176</v>
      </c>
      <c r="I39" t="s">
        <v>171</v>
      </c>
    </row>
    <row r="40" spans="1:9" x14ac:dyDescent="0.25">
      <c r="A40" t="s">
        <v>269</v>
      </c>
      <c r="B40" t="s">
        <v>267</v>
      </c>
      <c r="C40" t="s">
        <v>268</v>
      </c>
      <c r="D40" t="s">
        <v>72</v>
      </c>
    </row>
    <row r="41" spans="1:9" x14ac:dyDescent="0.25">
      <c r="B41" s="10">
        <v>0</v>
      </c>
      <c r="C41" s="10">
        <v>5</v>
      </c>
      <c r="D41" s="25">
        <v>0.1</v>
      </c>
      <c r="I41" t="s">
        <v>270</v>
      </c>
    </row>
    <row r="42" spans="1:9" x14ac:dyDescent="0.25">
      <c r="B42" s="10">
        <v>6</v>
      </c>
      <c r="C42" s="10">
        <v>10</v>
      </c>
      <c r="D42" s="7">
        <v>0.1</v>
      </c>
      <c r="I42" t="s">
        <v>270</v>
      </c>
    </row>
    <row r="43" spans="1:9" x14ac:dyDescent="0.25">
      <c r="B43" s="10">
        <v>11</v>
      </c>
      <c r="C43" s="10">
        <v>20</v>
      </c>
      <c r="D43" s="7">
        <v>0.15</v>
      </c>
      <c r="I43" t="s">
        <v>270</v>
      </c>
    </row>
    <row r="44" spans="1:9" x14ac:dyDescent="0.25">
      <c r="B44" s="10">
        <v>21</v>
      </c>
      <c r="C44" s="10">
        <v>100</v>
      </c>
      <c r="D44" s="7">
        <v>0.2</v>
      </c>
      <c r="I44" t="s">
        <v>270</v>
      </c>
    </row>
    <row r="45" spans="1:9" x14ac:dyDescent="0.25">
      <c r="A45" t="s">
        <v>250</v>
      </c>
      <c r="B45" s="67">
        <v>0.1</v>
      </c>
      <c r="I45" t="s">
        <v>171</v>
      </c>
    </row>
    <row r="46" spans="1:9" x14ac:dyDescent="0.25">
      <c r="A46" t="s">
        <v>251</v>
      </c>
      <c r="B46" s="67">
        <v>0.2</v>
      </c>
      <c r="I46" t="s">
        <v>171</v>
      </c>
    </row>
    <row r="47" spans="1:9" x14ac:dyDescent="0.25">
      <c r="A47" t="s">
        <v>177</v>
      </c>
      <c r="B47" s="5">
        <f>195*1.21</f>
        <v>235.95</v>
      </c>
      <c r="C47" t="s">
        <v>174</v>
      </c>
      <c r="I47" t="s">
        <v>171</v>
      </c>
    </row>
    <row r="48" spans="1:9" x14ac:dyDescent="0.25">
      <c r="A48" t="s">
        <v>179</v>
      </c>
      <c r="B48" s="25">
        <f>'Business case'!C18</f>
        <v>0.1</v>
      </c>
      <c r="I48" t="s">
        <v>180</v>
      </c>
    </row>
    <row r="49" spans="1:9" x14ac:dyDescent="0.25">
      <c r="A49" t="s">
        <v>254</v>
      </c>
      <c r="B49" t="s">
        <v>260</v>
      </c>
      <c r="C49" s="25" t="s">
        <v>261</v>
      </c>
      <c r="D49" t="s">
        <v>255</v>
      </c>
      <c r="E49" t="s">
        <v>256</v>
      </c>
    </row>
    <row r="50" spans="1:9" x14ac:dyDescent="0.25">
      <c r="B50" s="1">
        <v>0</v>
      </c>
      <c r="C50" s="9">
        <v>4.5</v>
      </c>
      <c r="D50" s="8">
        <f>7077*1.21</f>
        <v>8563.17</v>
      </c>
      <c r="E50" s="8">
        <f>D50*1.4</f>
        <v>11988.438</v>
      </c>
      <c r="I50" t="s">
        <v>258</v>
      </c>
    </row>
    <row r="51" spans="1:9" x14ac:dyDescent="0.25">
      <c r="B51" s="21">
        <f>C50+0.1</f>
        <v>4.5999999999999996</v>
      </c>
      <c r="C51" s="9">
        <v>6</v>
      </c>
      <c r="D51" s="8">
        <f>8720*1.21</f>
        <v>10551.199999999999</v>
      </c>
      <c r="E51" s="8">
        <f>D51*1.4</f>
        <v>14771.679999999997</v>
      </c>
      <c r="I51" t="s">
        <v>257</v>
      </c>
    </row>
    <row r="52" spans="1:9" x14ac:dyDescent="0.25">
      <c r="B52" s="21">
        <f>C51+0.1</f>
        <v>6.1</v>
      </c>
      <c r="C52" s="9">
        <v>8</v>
      </c>
      <c r="D52" s="8">
        <f>9115*1.21</f>
        <v>11029.15</v>
      </c>
      <c r="E52" s="8">
        <f>D52*1.4</f>
        <v>15440.809999999998</v>
      </c>
      <c r="I52" t="s">
        <v>257</v>
      </c>
    </row>
    <row r="53" spans="1:9" x14ac:dyDescent="0.25">
      <c r="B53" s="21">
        <f>C52+0.1</f>
        <v>8.1</v>
      </c>
      <c r="C53" s="9">
        <v>12</v>
      </c>
      <c r="D53" s="8">
        <f>10512*1.21</f>
        <v>12719.52</v>
      </c>
      <c r="E53" s="8">
        <f>D53*1.4</f>
        <v>17807.327999999998</v>
      </c>
      <c r="I53" t="s">
        <v>257</v>
      </c>
    </row>
    <row r="54" spans="1:9" x14ac:dyDescent="0.25">
      <c r="A54" t="s">
        <v>183</v>
      </c>
      <c r="B54" s="47">
        <v>17000</v>
      </c>
      <c r="I54" t="s">
        <v>184</v>
      </c>
    </row>
    <row r="55" spans="1:9" x14ac:dyDescent="0.25">
      <c r="A55" t="s">
        <v>246</v>
      </c>
      <c r="B55" s="10">
        <f>(265+270+245)/3</f>
        <v>260</v>
      </c>
      <c r="C55" t="s">
        <v>176</v>
      </c>
      <c r="I55" t="s">
        <v>247</v>
      </c>
    </row>
    <row r="57" spans="1:9" x14ac:dyDescent="0.25">
      <c r="A57" t="s">
        <v>127</v>
      </c>
      <c r="B57" s="8">
        <v>4200</v>
      </c>
      <c r="I57" t="s">
        <v>244</v>
      </c>
    </row>
    <row r="58" spans="1:9" x14ac:dyDescent="0.25">
      <c r="A58" t="s">
        <v>123</v>
      </c>
      <c r="B58" t="s">
        <v>135</v>
      </c>
      <c r="I58" t="s">
        <v>134</v>
      </c>
    </row>
    <row r="60" spans="1:9" x14ac:dyDescent="0.25">
      <c r="A60" t="s">
        <v>35</v>
      </c>
      <c r="B60" s="8">
        <v>125</v>
      </c>
      <c r="C60" t="s">
        <v>36</v>
      </c>
      <c r="E60" t="s">
        <v>200</v>
      </c>
      <c r="I60" s="52" t="s">
        <v>201</v>
      </c>
    </row>
    <row r="61" spans="1:9" x14ac:dyDescent="0.25">
      <c r="A61" t="s">
        <v>34</v>
      </c>
      <c r="B61" s="10">
        <v>15</v>
      </c>
      <c r="C61" t="s">
        <v>38</v>
      </c>
      <c r="E61" t="s">
        <v>43</v>
      </c>
      <c r="I61" t="s">
        <v>40</v>
      </c>
    </row>
    <row r="62" spans="1:9" x14ac:dyDescent="0.25">
      <c r="E62" t="s">
        <v>46</v>
      </c>
      <c r="I62" t="s">
        <v>44</v>
      </c>
    </row>
    <row r="63" spans="1:9" x14ac:dyDescent="0.25">
      <c r="I63" t="s">
        <v>45</v>
      </c>
    </row>
    <row r="64" spans="1:9" x14ac:dyDescent="0.25">
      <c r="I64" t="s">
        <v>47</v>
      </c>
    </row>
    <row r="65" spans="1:9" x14ac:dyDescent="0.25">
      <c r="A65" s="4" t="s">
        <v>196</v>
      </c>
    </row>
    <row r="66" spans="1:9" x14ac:dyDescent="0.25">
      <c r="A66" s="4" t="s">
        <v>254</v>
      </c>
      <c r="B66" t="s">
        <v>260</v>
      </c>
      <c r="C66" s="25" t="s">
        <v>261</v>
      </c>
      <c r="D66" t="s">
        <v>255</v>
      </c>
      <c r="E66" t="s">
        <v>256</v>
      </c>
    </row>
    <row r="67" spans="1:9" x14ac:dyDescent="0.25">
      <c r="A67" s="4"/>
      <c r="B67">
        <v>0</v>
      </c>
      <c r="C67">
        <v>4</v>
      </c>
      <c r="D67" s="8">
        <v>6615</v>
      </c>
      <c r="E67" s="8">
        <f>D67*1.4</f>
        <v>9261</v>
      </c>
      <c r="I67" t="s">
        <v>259</v>
      </c>
    </row>
    <row r="68" spans="1:9" x14ac:dyDescent="0.25">
      <c r="A68" s="4"/>
      <c r="B68">
        <f>C67+0.1</f>
        <v>4.0999999999999996</v>
      </c>
      <c r="C68">
        <v>6</v>
      </c>
      <c r="D68" s="8">
        <v>7830.666666666667</v>
      </c>
      <c r="E68" s="8">
        <f>D68*1.4</f>
        <v>10962.933333333332</v>
      </c>
      <c r="I68" t="s">
        <v>259</v>
      </c>
    </row>
    <row r="69" spans="1:9" x14ac:dyDescent="0.25">
      <c r="A69" s="4"/>
      <c r="B69">
        <f>C68+0.1</f>
        <v>6.1</v>
      </c>
      <c r="C69">
        <v>8</v>
      </c>
      <c r="D69" s="8">
        <v>8349.5</v>
      </c>
      <c r="E69" s="8">
        <f t="shared" ref="E69:E70" si="0">D69*1.4</f>
        <v>11689.3</v>
      </c>
      <c r="I69" t="s">
        <v>259</v>
      </c>
    </row>
    <row r="70" spans="1:9" x14ac:dyDescent="0.25">
      <c r="A70" s="4"/>
      <c r="B70">
        <f>C69+0.1</f>
        <v>8.1</v>
      </c>
      <c r="C70">
        <v>10.5</v>
      </c>
      <c r="D70" s="8">
        <v>11119</v>
      </c>
      <c r="E70" s="8">
        <f t="shared" si="0"/>
        <v>15566.599999999999</v>
      </c>
      <c r="I70" t="s">
        <v>259</v>
      </c>
    </row>
    <row r="71" spans="1:9" x14ac:dyDescent="0.25">
      <c r="A71" t="s">
        <v>183</v>
      </c>
      <c r="B71" s="53">
        <f>8000*1.4</f>
        <v>11200</v>
      </c>
      <c r="E71" t="s">
        <v>197</v>
      </c>
      <c r="I71" t="s">
        <v>202</v>
      </c>
    </row>
    <row r="72" spans="1:9" x14ac:dyDescent="0.25">
      <c r="A72" t="s">
        <v>127</v>
      </c>
      <c r="B72" s="8">
        <v>2850</v>
      </c>
      <c r="E72" t="s">
        <v>199</v>
      </c>
      <c r="I72" s="51" t="s">
        <v>198</v>
      </c>
    </row>
    <row r="73" spans="1:9" x14ac:dyDescent="0.25">
      <c r="A73" t="s">
        <v>123</v>
      </c>
      <c r="B73" t="s">
        <v>135</v>
      </c>
    </row>
    <row r="75" spans="1:9" x14ac:dyDescent="0.25">
      <c r="A75" t="s">
        <v>35</v>
      </c>
      <c r="B75" s="8">
        <v>125</v>
      </c>
      <c r="C75" t="s">
        <v>36</v>
      </c>
      <c r="E75" t="s">
        <v>200</v>
      </c>
      <c r="I75" s="52" t="s">
        <v>201</v>
      </c>
    </row>
    <row r="76" spans="1:9" x14ac:dyDescent="0.25">
      <c r="A76" t="s">
        <v>34</v>
      </c>
      <c r="B76" s="10">
        <v>15</v>
      </c>
      <c r="C76" t="s">
        <v>38</v>
      </c>
      <c r="E76" t="s">
        <v>203</v>
      </c>
    </row>
    <row r="78" spans="1:9" x14ac:dyDescent="0.25">
      <c r="A78" t="s">
        <v>204</v>
      </c>
      <c r="B78" s="8">
        <v>2580</v>
      </c>
      <c r="E78" t="s">
        <v>205</v>
      </c>
      <c r="I78" s="31" t="s">
        <v>206</v>
      </c>
    </row>
  </sheetData>
  <hyperlinks>
    <hyperlink ref="I6" r:id="rId1" xr:uid="{DD0DE180-6B94-408C-B981-C04B6693C4B3}"/>
    <hyperlink ref="I72" r:id="rId2" xr:uid="{4CE1076B-9278-4028-A715-50CFB10F8017}"/>
    <hyperlink ref="I75" r:id="rId3" xr:uid="{86E2DDCC-0A87-4D43-BEE8-85DE2A728544}"/>
    <hyperlink ref="I78" r:id="rId4" xr:uid="{39F37AA9-6B4A-49CD-8654-7133A0B9893B}"/>
    <hyperlink ref="I60" r:id="rId5" xr:uid="{141A7154-BD2E-4011-85B4-73B31A418AFA}"/>
  </hyperlinks>
  <pageMargins left="0.7" right="0.7" top="0.75" bottom="0.75" header="0.3" footer="0.3"/>
  <pageSetup paperSize="9" orientation="portrait" r:id="rId6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7AC87-A9B0-4BA3-A626-3980E63B9981}">
  <dimension ref="A1:I20"/>
  <sheetViews>
    <sheetView workbookViewId="0">
      <selection activeCell="E18" sqref="E18"/>
    </sheetView>
  </sheetViews>
  <sheetFormatPr defaultRowHeight="15" x14ac:dyDescent="0.25"/>
  <cols>
    <col min="1" max="1" width="27.140625" customWidth="1"/>
    <col min="2" max="7" width="15.85546875" customWidth="1"/>
    <col min="9" max="9" width="14" customWidth="1"/>
  </cols>
  <sheetData>
    <row r="1" spans="1:9" x14ac:dyDescent="0.25">
      <c r="A1" t="s">
        <v>281</v>
      </c>
      <c r="B1" s="73">
        <v>0.84</v>
      </c>
      <c r="D1" t="s">
        <v>282</v>
      </c>
    </row>
    <row r="3" spans="1:9" x14ac:dyDescent="0.25">
      <c r="A3" t="s">
        <v>102</v>
      </c>
      <c r="B3" t="s">
        <v>294</v>
      </c>
    </row>
    <row r="4" spans="1:9" ht="30" x14ac:dyDescent="0.25">
      <c r="A4" s="32" t="s">
        <v>105</v>
      </c>
      <c r="B4" s="32" t="s">
        <v>106</v>
      </c>
      <c r="C4" s="32" t="s">
        <v>107</v>
      </c>
      <c r="D4" s="32" t="s">
        <v>91</v>
      </c>
      <c r="E4" s="32" t="s">
        <v>9</v>
      </c>
      <c r="F4" s="32" t="s">
        <v>108</v>
      </c>
      <c r="G4" s="32" t="s">
        <v>109</v>
      </c>
      <c r="I4" t="s">
        <v>283</v>
      </c>
    </row>
    <row r="5" spans="1:9" x14ac:dyDescent="0.25">
      <c r="A5" t="s">
        <v>110</v>
      </c>
      <c r="B5" s="8">
        <v>1000</v>
      </c>
      <c r="C5">
        <v>310</v>
      </c>
      <c r="D5" s="8">
        <f t="shared" ref="D5:D15" si="0">B5-C5</f>
        <v>690</v>
      </c>
      <c r="E5" s="7">
        <v>0.04</v>
      </c>
      <c r="F5">
        <v>20</v>
      </c>
      <c r="G5" s="8">
        <f t="shared" ref="G5:G15" si="1">IFERROR(D5*(15/F5),0)</f>
        <v>517.5</v>
      </c>
      <c r="I5" t="s">
        <v>284</v>
      </c>
    </row>
    <row r="6" spans="1:9" x14ac:dyDescent="0.25">
      <c r="A6" t="s">
        <v>111</v>
      </c>
      <c r="B6" s="8">
        <v>2250</v>
      </c>
      <c r="C6">
        <v>530</v>
      </c>
      <c r="D6" s="8">
        <f t="shared" si="0"/>
        <v>1720</v>
      </c>
      <c r="E6" s="7">
        <v>3.3599999999999998E-2</v>
      </c>
      <c r="F6">
        <v>20</v>
      </c>
      <c r="G6" s="8">
        <f t="shared" si="1"/>
        <v>1290</v>
      </c>
      <c r="I6" t="s">
        <v>284</v>
      </c>
    </row>
    <row r="7" spans="1:9" x14ac:dyDescent="0.25">
      <c r="A7" t="s">
        <v>99</v>
      </c>
      <c r="B7" s="8">
        <v>1736</v>
      </c>
      <c r="D7" s="8">
        <f t="shared" si="0"/>
        <v>1736</v>
      </c>
      <c r="E7" s="7">
        <v>6.7199999999999996E-2</v>
      </c>
      <c r="F7">
        <v>20</v>
      </c>
      <c r="G7" s="8">
        <f t="shared" si="1"/>
        <v>1302</v>
      </c>
      <c r="I7" t="s">
        <v>285</v>
      </c>
    </row>
    <row r="8" spans="1:9" x14ac:dyDescent="0.25">
      <c r="A8" t="s">
        <v>112</v>
      </c>
      <c r="B8" s="8">
        <v>2450</v>
      </c>
      <c r="C8">
        <v>770</v>
      </c>
      <c r="D8" s="8">
        <f t="shared" si="0"/>
        <v>1680</v>
      </c>
      <c r="E8" s="7">
        <f>10%*$B$1</f>
        <v>8.4000000000000005E-2</v>
      </c>
      <c r="F8">
        <v>20</v>
      </c>
      <c r="G8" s="8">
        <f t="shared" si="1"/>
        <v>1260</v>
      </c>
      <c r="I8" t="s">
        <v>286</v>
      </c>
    </row>
    <row r="9" spans="1:9" x14ac:dyDescent="0.25">
      <c r="A9" t="s">
        <v>113</v>
      </c>
      <c r="B9" s="8">
        <v>3000</v>
      </c>
      <c r="C9">
        <f>C8*30%</f>
        <v>231</v>
      </c>
      <c r="D9" s="8">
        <f t="shared" si="0"/>
        <v>2769</v>
      </c>
      <c r="E9" s="7">
        <f>4%*$B$1</f>
        <v>3.3599999999999998E-2</v>
      </c>
      <c r="F9">
        <v>20</v>
      </c>
      <c r="G9" s="8">
        <f t="shared" si="1"/>
        <v>2076.75</v>
      </c>
      <c r="I9" t="s">
        <v>287</v>
      </c>
    </row>
    <row r="10" spans="1:9" x14ac:dyDescent="0.25">
      <c r="A10" t="s">
        <v>114</v>
      </c>
      <c r="B10" s="8">
        <v>500</v>
      </c>
      <c r="D10" s="8">
        <f t="shared" si="0"/>
        <v>500</v>
      </c>
      <c r="E10" s="7">
        <f>1.5%*$B$1</f>
        <v>1.2599999999999998E-2</v>
      </c>
      <c r="F10">
        <v>20</v>
      </c>
      <c r="G10" s="8">
        <f t="shared" si="1"/>
        <v>375</v>
      </c>
      <c r="I10" t="s">
        <v>288</v>
      </c>
    </row>
    <row r="11" spans="1:9" x14ac:dyDescent="0.25">
      <c r="A11" t="s">
        <v>115</v>
      </c>
      <c r="B11" s="8">
        <v>2250</v>
      </c>
      <c r="D11" s="8">
        <f t="shared" si="0"/>
        <v>2250</v>
      </c>
      <c r="E11" s="7">
        <f>8%*$B$1</f>
        <v>6.7199999999999996E-2</v>
      </c>
      <c r="F11">
        <v>20</v>
      </c>
      <c r="G11" s="8">
        <f t="shared" si="1"/>
        <v>1687.5</v>
      </c>
      <c r="I11" t="s">
        <v>289</v>
      </c>
    </row>
    <row r="12" spans="1:9" x14ac:dyDescent="0.25">
      <c r="A12" t="s">
        <v>116</v>
      </c>
      <c r="B12" s="8"/>
      <c r="D12" s="8">
        <f t="shared" si="0"/>
        <v>0</v>
      </c>
      <c r="G12" s="8">
        <f t="shared" si="1"/>
        <v>0</v>
      </c>
      <c r="I12" t="s">
        <v>290</v>
      </c>
    </row>
    <row r="13" spans="1:9" x14ac:dyDescent="0.25">
      <c r="A13" t="s">
        <v>117</v>
      </c>
      <c r="B13" s="8">
        <v>3500</v>
      </c>
      <c r="D13" s="8">
        <f t="shared" si="0"/>
        <v>3500</v>
      </c>
      <c r="E13" s="7">
        <f>4%*$B$1</f>
        <v>3.3599999999999998E-2</v>
      </c>
      <c r="F13">
        <v>20</v>
      </c>
      <c r="G13" s="8">
        <f t="shared" si="1"/>
        <v>2625</v>
      </c>
      <c r="I13" t="s">
        <v>291</v>
      </c>
    </row>
    <row r="14" spans="1:9" x14ac:dyDescent="0.25">
      <c r="A14" t="s">
        <v>118</v>
      </c>
      <c r="B14" s="8">
        <f>900*110%</f>
        <v>990.00000000000011</v>
      </c>
      <c r="C14">
        <v>400</v>
      </c>
      <c r="D14" s="8">
        <f t="shared" si="0"/>
        <v>590.00000000000011</v>
      </c>
      <c r="E14" s="74">
        <f>37/1200</f>
        <v>3.0833333333333334E-2</v>
      </c>
      <c r="F14">
        <v>15</v>
      </c>
      <c r="G14" s="8">
        <f t="shared" si="1"/>
        <v>590.00000000000011</v>
      </c>
      <c r="I14" t="s">
        <v>292</v>
      </c>
    </row>
    <row r="15" spans="1:9" x14ac:dyDescent="0.25">
      <c r="A15" t="s">
        <v>119</v>
      </c>
      <c r="B15" s="8">
        <v>389</v>
      </c>
      <c r="D15" s="8">
        <f t="shared" si="0"/>
        <v>389</v>
      </c>
      <c r="F15">
        <v>20</v>
      </c>
      <c r="G15" s="8">
        <f t="shared" si="1"/>
        <v>291.75</v>
      </c>
      <c r="I15" t="s">
        <v>293</v>
      </c>
    </row>
    <row r="16" spans="1:9" x14ac:dyDescent="0.25">
      <c r="A16" s="3" t="s">
        <v>41</v>
      </c>
      <c r="B16" s="14">
        <f>SUM(B5:B15)</f>
        <v>18065</v>
      </c>
      <c r="C16" s="14">
        <f>SUM(C5:C15)</f>
        <v>2241</v>
      </c>
      <c r="D16" s="14">
        <f>SUM(D5:D15)</f>
        <v>15824</v>
      </c>
      <c r="E16" s="28">
        <f>SUM(E5:E15)</f>
        <v>0.40263333333333334</v>
      </c>
      <c r="F16" s="3"/>
      <c r="G16" s="14">
        <f>SUM(G5:G15)</f>
        <v>12015.5</v>
      </c>
    </row>
    <row r="17" spans="1:3" x14ac:dyDescent="0.25">
      <c r="B17" s="8"/>
    </row>
    <row r="18" spans="1:3" x14ac:dyDescent="0.25">
      <c r="A18" s="83" t="s">
        <v>296</v>
      </c>
      <c r="B18" s="83"/>
      <c r="C18" s="83"/>
    </row>
    <row r="19" spans="1:3" x14ac:dyDescent="0.25">
      <c r="A19" s="83"/>
      <c r="B19" s="83"/>
      <c r="C19" s="83"/>
    </row>
    <row r="20" spans="1:3" x14ac:dyDescent="0.25">
      <c r="A20" s="83"/>
      <c r="B20" s="83"/>
      <c r="C20" s="83"/>
    </row>
  </sheetData>
  <mergeCells count="1">
    <mergeCell ref="A18:C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7</vt:i4>
      </vt:variant>
    </vt:vector>
  </HeadingPairs>
  <TitlesOfParts>
    <vt:vector size="7" baseType="lpstr">
      <vt:lpstr>Instructie</vt:lpstr>
      <vt:lpstr>Business case</vt:lpstr>
      <vt:lpstr>Investering</vt:lpstr>
      <vt:lpstr>Financiering</vt:lpstr>
      <vt:lpstr>Prijzen</vt:lpstr>
      <vt:lpstr>Kengetallen</vt:lpstr>
      <vt:lpstr>Isolatie+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Gerbert</dc:creator>
  <cp:lastModifiedBy>Gerbert Hengelaar</cp:lastModifiedBy>
  <dcterms:created xsi:type="dcterms:W3CDTF">2023-01-03T12:29:48Z</dcterms:created>
  <dcterms:modified xsi:type="dcterms:W3CDTF">2024-09-27T10:04:59Z</dcterms:modified>
</cp:coreProperties>
</file>